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2\2022-2023\МЕНЮ ОСЕНЬ\МЕНЮ С ДЕКАБРЯ\"/>
    </mc:Choice>
  </mc:AlternateContent>
  <xr:revisionPtr revIDLastSave="0" documentId="13_ncr:1_{8EA91182-818E-47D4-969C-A8EE87E05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итамины, мин-е вещ-ва" sheetId="29" r:id="rId1"/>
    <sheet name="12-18л. МЕНЮ  " sheetId="14" r:id="rId2"/>
    <sheet name="12-18л. РАСКЛАДКА" sheetId="7" r:id="rId3"/>
    <sheet name="12-18л. ВЕДОМОСТЬ завтрак" sheetId="9" r:id="rId4"/>
    <sheet name="12-18л. ВЕДОМОСТЬ  обед" sheetId="24" r:id="rId5"/>
    <sheet name="12-18л. ВЕДОМОСТЬ  полдник" sheetId="26" r:id="rId6"/>
    <sheet name="12-18л. ВЕДОМОСТЬ завтрак обед" sheetId="25" r:id="rId7"/>
    <sheet name="12-18л. ВЕДОМОСТЬ обед  полдник" sheetId="27" r:id="rId8"/>
    <sheet name="12-18л. ВЕДОМОСТЬ единая" sheetId="28" r:id="rId9"/>
    <sheet name="компановка" sheetId="22" r:id="rId10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5" i="22" l="1"/>
  <c r="H155" i="22"/>
  <c r="H57" i="22"/>
  <c r="H51" i="22"/>
  <c r="H42" i="22"/>
  <c r="D57" i="22"/>
  <c r="D51" i="22"/>
  <c r="H115" i="22"/>
  <c r="H110" i="22"/>
  <c r="D115" i="22"/>
  <c r="D111" i="22"/>
  <c r="D102" i="22"/>
  <c r="H87" i="22"/>
  <c r="H82" i="22"/>
  <c r="H72" i="22"/>
  <c r="D88" i="22"/>
  <c r="D83" i="22"/>
  <c r="D72" i="22"/>
  <c r="D41" i="22"/>
  <c r="D765" i="29"/>
  <c r="D758" i="29"/>
  <c r="D745" i="29"/>
  <c r="D704" i="29"/>
  <c r="D697" i="29"/>
  <c r="D685" i="29"/>
  <c r="D631" i="29"/>
  <c r="D644" i="29"/>
  <c r="D651" i="29"/>
  <c r="D595" i="29"/>
  <c r="D577" i="29"/>
  <c r="D588" i="29"/>
  <c r="D522" i="29"/>
  <c r="D534" i="29"/>
  <c r="D541" i="29"/>
  <c r="D470" i="29"/>
  <c r="D481" i="29"/>
  <c r="D487" i="29"/>
  <c r="D367" i="29"/>
  <c r="D360" i="29"/>
  <c r="D348" i="29"/>
  <c r="D311" i="29"/>
  <c r="D304" i="29"/>
  <c r="D291" i="29"/>
  <c r="D241" i="29"/>
  <c r="D252" i="29"/>
  <c r="D259" i="29"/>
  <c r="D198" i="29"/>
  <c r="D206" i="29"/>
  <c r="D186" i="29"/>
  <c r="D132" i="29"/>
  <c r="D143" i="29"/>
  <c r="D150" i="29"/>
  <c r="D77" i="29"/>
  <c r="D88" i="29"/>
  <c r="D95" i="29"/>
  <c r="D753" i="14"/>
  <c r="D733" i="14"/>
  <c r="D677" i="14"/>
  <c r="D689" i="14"/>
  <c r="D696" i="14"/>
  <c r="D636" i="14"/>
  <c r="D643" i="14"/>
  <c r="D623" i="14"/>
  <c r="D588" i="14"/>
  <c r="D570" i="14"/>
  <c r="D581" i="14"/>
  <c r="D515" i="14"/>
  <c r="D527" i="14"/>
  <c r="D534" i="14"/>
  <c r="D479" i="14"/>
  <c r="D473" i="14"/>
  <c r="G462" i="14"/>
  <c r="D462" i="14"/>
  <c r="D359" i="14"/>
  <c r="D347" i="14"/>
  <c r="D311" i="14"/>
  <c r="D304" i="14"/>
  <c r="D291" i="14"/>
  <c r="D238" i="14"/>
  <c r="D249" i="14"/>
  <c r="D256" i="14"/>
  <c r="D204" i="14"/>
  <c r="D196" i="14"/>
  <c r="D184" i="14"/>
  <c r="H23" i="22"/>
  <c r="H14" i="22"/>
  <c r="H29" i="22"/>
  <c r="D146" i="14"/>
  <c r="D139" i="14"/>
  <c r="D128" i="14"/>
  <c r="D15" i="22"/>
  <c r="D24" i="22"/>
  <c r="D30" i="22"/>
  <c r="D92" i="14"/>
  <c r="D85" i="14"/>
  <c r="D74" i="14"/>
  <c r="D24" i="7"/>
  <c r="D41" i="7"/>
  <c r="D47" i="7"/>
  <c r="D83" i="7"/>
  <c r="D96" i="7"/>
  <c r="D106" i="7"/>
  <c r="D143" i="7"/>
  <c r="D159" i="7"/>
  <c r="D167" i="7"/>
  <c r="D196" i="7"/>
  <c r="D210" i="7"/>
  <c r="D217" i="7"/>
  <c r="D257" i="7"/>
  <c r="D273" i="7"/>
  <c r="D281" i="7"/>
  <c r="D311" i="7"/>
  <c r="D325" i="7"/>
  <c r="D339" i="7"/>
  <c r="D368" i="7"/>
  <c r="D383" i="7"/>
  <c r="D394" i="7"/>
  <c r="D425" i="7"/>
  <c r="D439" i="7"/>
  <c r="D449" i="7"/>
  <c r="D481" i="7"/>
  <c r="D495" i="7"/>
  <c r="D503" i="7"/>
  <c r="D530" i="7"/>
  <c r="D545" i="7"/>
  <c r="D554" i="7"/>
  <c r="D611" i="7"/>
  <c r="D599" i="7"/>
  <c r="D582" i="7"/>
  <c r="D635" i="7"/>
  <c r="D655" i="7"/>
  <c r="D665" i="7"/>
  <c r="U644" i="7" l="1"/>
  <c r="T644" i="7"/>
  <c r="S644" i="7"/>
  <c r="S645" i="7"/>
  <c r="R644" i="7"/>
  <c r="U588" i="7"/>
  <c r="T588" i="7" s="1"/>
  <c r="U534" i="7"/>
  <c r="T534" i="7"/>
  <c r="S534" i="7"/>
  <c r="R534" i="7"/>
  <c r="Q426" i="7"/>
  <c r="P426" i="7"/>
  <c r="U375" i="7"/>
  <c r="T375" i="7"/>
  <c r="Q375" i="7"/>
  <c r="P375" i="7"/>
  <c r="U321" i="7"/>
  <c r="T321" i="7" s="1"/>
  <c r="U266" i="7"/>
  <c r="T266" i="7"/>
  <c r="S266" i="7"/>
  <c r="R266" i="7"/>
  <c r="Q266" i="7"/>
  <c r="P266" i="7"/>
  <c r="U210" i="7"/>
  <c r="T210" i="7"/>
  <c r="Q210" i="7"/>
  <c r="P210" i="7"/>
  <c r="U153" i="7"/>
  <c r="T153" i="7" s="1"/>
  <c r="Q153" i="7"/>
  <c r="P153" i="7" s="1"/>
  <c r="U91" i="7"/>
  <c r="T91" i="7" s="1"/>
  <c r="S91" i="7"/>
  <c r="R91" i="7" s="1"/>
  <c r="R640" i="7"/>
  <c r="Q530" i="7"/>
  <c r="D366" i="14" l="1"/>
  <c r="D746" i="14"/>
  <c r="D170" i="22" l="1"/>
  <c r="H145" i="22"/>
  <c r="D144" i="22"/>
  <c r="H81" i="14"/>
  <c r="O10" i="26"/>
  <c r="S31" i="27"/>
  <c r="T567" i="7" l="1"/>
  <c r="U567" i="7"/>
  <c r="T245" i="7"/>
  <c r="U513" i="7"/>
  <c r="T513" i="7"/>
  <c r="K18" i="26"/>
  <c r="H200" i="14"/>
  <c r="T133" i="7"/>
  <c r="U133" i="7"/>
  <c r="E95" i="29"/>
  <c r="F95" i="29"/>
  <c r="G95" i="29"/>
  <c r="H95" i="29"/>
  <c r="I95" i="29"/>
  <c r="J95" i="29"/>
  <c r="K95" i="29"/>
  <c r="L95" i="29"/>
  <c r="M95" i="29"/>
  <c r="N95" i="29"/>
  <c r="O95" i="29"/>
  <c r="P95" i="29"/>
  <c r="E92" i="14"/>
  <c r="F92" i="14"/>
  <c r="G92" i="14"/>
  <c r="H92" i="14"/>
  <c r="I765" i="29" l="1"/>
  <c r="I758" i="29"/>
  <c r="F745" i="29"/>
  <c r="M704" i="29"/>
  <c r="K697" i="29"/>
  <c r="K685" i="29"/>
  <c r="L651" i="29"/>
  <c r="O644" i="29"/>
  <c r="O631" i="29"/>
  <c r="K595" i="29"/>
  <c r="M588" i="29"/>
  <c r="H577" i="29"/>
  <c r="H541" i="29"/>
  <c r="H534" i="29"/>
  <c r="E522" i="29"/>
  <c r="J487" i="29"/>
  <c r="J470" i="29"/>
  <c r="F481" i="29"/>
  <c r="E487" i="29"/>
  <c r="N595" i="29"/>
  <c r="N588" i="29"/>
  <c r="M577" i="29"/>
  <c r="O487" i="29"/>
  <c r="M481" i="29"/>
  <c r="I367" i="29"/>
  <c r="N360" i="29"/>
  <c r="P348" i="29"/>
  <c r="N348" i="29"/>
  <c r="H291" i="29"/>
  <c r="J241" i="29"/>
  <c r="H241" i="29"/>
  <c r="F198" i="29"/>
  <c r="L186" i="29"/>
  <c r="O206" i="29"/>
  <c r="N132" i="29"/>
  <c r="I132" i="29"/>
  <c r="E97" i="29"/>
  <c r="L77" i="29"/>
  <c r="N88" i="29"/>
  <c r="G753" i="14"/>
  <c r="G755" i="14" s="1"/>
  <c r="G733" i="14"/>
  <c r="G735" i="14" s="1"/>
  <c r="G696" i="14"/>
  <c r="G698" i="14" s="1"/>
  <c r="G689" i="14"/>
  <c r="G691" i="14" s="1"/>
  <c r="G677" i="14"/>
  <c r="G679" i="14" s="1"/>
  <c r="G643" i="14"/>
  <c r="G645" i="14" s="1"/>
  <c r="G636" i="14"/>
  <c r="G638" i="14" s="1"/>
  <c r="G623" i="14"/>
  <c r="G625" i="14" s="1"/>
  <c r="G588" i="14"/>
  <c r="G590" i="14" s="1"/>
  <c r="G581" i="14"/>
  <c r="G583" i="14" s="1"/>
  <c r="G570" i="14"/>
  <c r="G572" i="14" s="1"/>
  <c r="G534" i="14"/>
  <c r="G536" i="14" s="1"/>
  <c r="G527" i="14"/>
  <c r="G529" i="14" s="1"/>
  <c r="H515" i="14"/>
  <c r="H517" i="14" s="1"/>
  <c r="H473" i="14"/>
  <c r="H475" i="14" s="1"/>
  <c r="G464" i="14"/>
  <c r="G366" i="14"/>
  <c r="G368" i="14" s="1"/>
  <c r="G359" i="14"/>
  <c r="G361" i="14" s="1"/>
  <c r="G347" i="14"/>
  <c r="G349" i="14" s="1"/>
  <c r="G311" i="14"/>
  <c r="G313" i="14" s="1"/>
  <c r="G304" i="14"/>
  <c r="G306" i="14" s="1"/>
  <c r="G291" i="14"/>
  <c r="G293" i="14" s="1"/>
  <c r="H256" i="14"/>
  <c r="H258" i="14" s="1"/>
  <c r="G249" i="14"/>
  <c r="G251" i="14" s="1"/>
  <c r="G238" i="14"/>
  <c r="G240" i="14" s="1"/>
  <c r="G204" i="14"/>
  <c r="G196" i="14"/>
  <c r="G198" i="14" s="1"/>
  <c r="H184" i="14"/>
  <c r="H186" i="14" s="1"/>
  <c r="H146" i="14"/>
  <c r="H148" i="14" s="1"/>
  <c r="G139" i="14"/>
  <c r="G141" i="14" s="1"/>
  <c r="G128" i="14"/>
  <c r="G130" i="14" s="1"/>
  <c r="G94" i="14"/>
  <c r="G85" i="14"/>
  <c r="G87" i="14" s="1"/>
  <c r="F74" i="14"/>
  <c r="F76" i="14" s="1"/>
  <c r="H746" i="14"/>
  <c r="H748" i="14" s="1"/>
  <c r="E746" i="14"/>
  <c r="E748" i="14" s="1"/>
  <c r="E733" i="14"/>
  <c r="E735" i="14" s="1"/>
  <c r="H689" i="14"/>
  <c r="H691" i="14" s="1"/>
  <c r="H462" i="14"/>
  <c r="H464" i="14" s="1"/>
  <c r="H359" i="14"/>
  <c r="H361" i="14" s="1"/>
  <c r="G206" i="14" l="1"/>
  <c r="E704" i="29" l="1"/>
  <c r="F704" i="29"/>
  <c r="F706" i="29" s="1"/>
  <c r="G704" i="29"/>
  <c r="G706" i="29" s="1"/>
  <c r="H704" i="29"/>
  <c r="H706" i="29" s="1"/>
  <c r="I704" i="29"/>
  <c r="I706" i="29" s="1"/>
  <c r="J704" i="29"/>
  <c r="J706" i="29" s="1"/>
  <c r="K704" i="29"/>
  <c r="K706" i="29" s="1"/>
  <c r="L704" i="29"/>
  <c r="L706" i="29" s="1"/>
  <c r="M706" i="29"/>
  <c r="N704" i="29"/>
  <c r="N706" i="29" s="1"/>
  <c r="O704" i="29"/>
  <c r="O706" i="29" s="1"/>
  <c r="P704" i="29"/>
  <c r="P706" i="29" s="1"/>
  <c r="E706" i="29" l="1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39" i="28"/>
  <c r="S40" i="28"/>
  <c r="S41" i="28"/>
  <c r="S42" i="28"/>
  <c r="S43" i="28"/>
  <c r="S9" i="28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2" i="27"/>
  <c r="S33" i="27"/>
  <c r="S34" i="27"/>
  <c r="S35" i="27"/>
  <c r="S36" i="27"/>
  <c r="S37" i="27"/>
  <c r="S38" i="27"/>
  <c r="S39" i="27"/>
  <c r="S40" i="27"/>
  <c r="S41" i="27"/>
  <c r="S42" i="27"/>
  <c r="S43" i="27"/>
  <c r="S9" i="27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9" i="25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9" i="24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9" i="9"/>
  <c r="E765" i="29" l="1"/>
  <c r="E767" i="29" s="1"/>
  <c r="U645" i="7" l="1"/>
  <c r="T645" i="7"/>
  <c r="U637" i="7"/>
  <c r="T637" i="7"/>
  <c r="H170" i="22" l="1"/>
  <c r="U623" i="7"/>
  <c r="T623" i="7"/>
  <c r="T419" i="7" l="1"/>
  <c r="U419" i="7"/>
  <c r="V165" i="7"/>
  <c r="S373" i="7"/>
  <c r="R373" i="7"/>
  <c r="R642" i="7"/>
  <c r="S643" i="7"/>
  <c r="R643" i="7"/>
  <c r="R587" i="7"/>
  <c r="R586" i="7"/>
  <c r="R533" i="7"/>
  <c r="R532" i="7"/>
  <c r="S532" i="7"/>
  <c r="R477" i="7"/>
  <c r="R478" i="7"/>
  <c r="R425" i="7"/>
  <c r="R424" i="7"/>
  <c r="R374" i="7"/>
  <c r="R320" i="7"/>
  <c r="R319" i="7"/>
  <c r="R264" i="7"/>
  <c r="R152" i="7"/>
  <c r="R151" i="7"/>
  <c r="R90" i="7"/>
  <c r="R89" i="7"/>
  <c r="S31" i="7"/>
  <c r="S30" i="7"/>
  <c r="R30" i="7"/>
  <c r="R31" i="7"/>
  <c r="Q30" i="7"/>
  <c r="AF639" i="7"/>
  <c r="T648" i="7"/>
  <c r="T651" i="7"/>
  <c r="T656" i="7"/>
  <c r="T625" i="7"/>
  <c r="T642" i="7"/>
  <c r="T643" i="7"/>
  <c r="U643" i="7"/>
  <c r="T658" i="7"/>
  <c r="T639" i="7"/>
  <c r="AG655" i="7"/>
  <c r="AF655" i="7"/>
  <c r="AF632" i="7"/>
  <c r="AF583" i="7"/>
  <c r="AG585" i="7"/>
  <c r="AF585" i="7"/>
  <c r="T589" i="7"/>
  <c r="T591" i="7"/>
  <c r="T595" i="7"/>
  <c r="T598" i="7"/>
  <c r="T569" i="7"/>
  <c r="T586" i="7"/>
  <c r="T581" i="7"/>
  <c r="T599" i="7"/>
  <c r="T585" i="7"/>
  <c r="T602" i="7"/>
  <c r="AG599" i="7"/>
  <c r="AF599" i="7"/>
  <c r="AF573" i="7"/>
  <c r="T572" i="7"/>
  <c r="AG529" i="7"/>
  <c r="AF529" i="7"/>
  <c r="T541" i="7"/>
  <c r="T544" i="7"/>
  <c r="T515" i="7"/>
  <c r="T532" i="7"/>
  <c r="T531" i="7"/>
  <c r="T527" i="7"/>
  <c r="T545" i="7"/>
  <c r="AG550" i="7"/>
  <c r="AF550" i="7"/>
  <c r="AF522" i="7"/>
  <c r="AF521" i="7"/>
  <c r="AF519" i="7"/>
  <c r="AG541" i="7"/>
  <c r="AF541" i="7"/>
  <c r="AG536" i="7"/>
  <c r="AF536" i="7"/>
  <c r="T522" i="7"/>
  <c r="AG474" i="7"/>
  <c r="U463" i="7"/>
  <c r="T460" i="7"/>
  <c r="U460" i="7"/>
  <c r="T459" i="7"/>
  <c r="AF474" i="7"/>
  <c r="AG479" i="7"/>
  <c r="AF479" i="7"/>
  <c r="T480" i="7"/>
  <c r="T482" i="7"/>
  <c r="T486" i="7"/>
  <c r="T489" i="7"/>
  <c r="T477" i="7"/>
  <c r="T472" i="7"/>
  <c r="T478" i="7"/>
  <c r="T493" i="7"/>
  <c r="AF467" i="7"/>
  <c r="AF466" i="7"/>
  <c r="T463" i="7"/>
  <c r="T410" i="7"/>
  <c r="T405" i="7"/>
  <c r="T439" i="7"/>
  <c r="T427" i="7"/>
  <c r="T413" i="7"/>
  <c r="T424" i="7"/>
  <c r="AF420" i="7"/>
  <c r="T411" i="7" s="1"/>
  <c r="T433" i="7"/>
  <c r="T436" i="7"/>
  <c r="T407" i="7"/>
  <c r="T423" i="7"/>
  <c r="T434" i="7"/>
  <c r="T406" i="7"/>
  <c r="T418" i="7"/>
  <c r="AF370" i="7"/>
  <c r="T376" i="7"/>
  <c r="T380" i="7"/>
  <c r="T368" i="7"/>
  <c r="T382" i="7"/>
  <c r="T385" i="7"/>
  <c r="T356" i="7"/>
  <c r="T373" i="7"/>
  <c r="T374" i="7"/>
  <c r="AF363" i="7"/>
  <c r="AF354" i="7"/>
  <c r="T358" i="7"/>
  <c r="AD639" i="7"/>
  <c r="R628" i="7"/>
  <c r="R624" i="7"/>
  <c r="R623" i="7"/>
  <c r="AE641" i="7"/>
  <c r="AD641" i="7"/>
  <c r="R651" i="7"/>
  <c r="R658" i="7"/>
  <c r="R625" i="7"/>
  <c r="AE651" i="7"/>
  <c r="AD651" i="7"/>
  <c r="AE646" i="7"/>
  <c r="AD646" i="7"/>
  <c r="AD629" i="7"/>
  <c r="R654" i="7"/>
  <c r="R637" i="7"/>
  <c r="R645" i="7"/>
  <c r="AD623" i="7"/>
  <c r="AD625" i="7"/>
  <c r="AD624" i="7"/>
  <c r="AD632" i="7"/>
  <c r="AE660" i="7"/>
  <c r="AD660" i="7"/>
  <c r="R657" i="7"/>
  <c r="R631" i="7"/>
  <c r="R655" i="7"/>
  <c r="AD631" i="7"/>
  <c r="R627" i="7"/>
  <c r="R635" i="7"/>
  <c r="R572" i="7"/>
  <c r="AE602" i="7"/>
  <c r="AD602" i="7"/>
  <c r="AE583" i="7"/>
  <c r="AD583" i="7"/>
  <c r="R567" i="7"/>
  <c r="R589" i="7"/>
  <c r="R581" i="7"/>
  <c r="R593" i="7"/>
  <c r="R595" i="7"/>
  <c r="S586" i="7"/>
  <c r="AE585" i="7"/>
  <c r="AD585" i="7"/>
  <c r="R598" i="7"/>
  <c r="R569" i="7"/>
  <c r="R585" i="7"/>
  <c r="R602" i="7"/>
  <c r="R568" i="7"/>
  <c r="R579" i="7"/>
  <c r="AD578" i="7"/>
  <c r="AE590" i="7"/>
  <c r="AD590" i="7"/>
  <c r="R599" i="7"/>
  <c r="AD571" i="7"/>
  <c r="AD575" i="7"/>
  <c r="AD576" i="7"/>
  <c r="AD573" i="7"/>
  <c r="R541" i="7"/>
  <c r="S541" i="7"/>
  <c r="AE529" i="7"/>
  <c r="R518" i="7"/>
  <c r="AD529" i="7"/>
  <c r="AD521" i="7"/>
  <c r="R536" i="7"/>
  <c r="R535" i="7"/>
  <c r="R521" i="7"/>
  <c r="R515" i="7"/>
  <c r="R548" i="7"/>
  <c r="R527" i="7"/>
  <c r="R513" i="7"/>
  <c r="R514" i="7"/>
  <c r="AE541" i="7"/>
  <c r="AD541" i="7"/>
  <c r="R544" i="7"/>
  <c r="R531" i="7"/>
  <c r="R542" i="7"/>
  <c r="R529" i="7"/>
  <c r="AD513" i="7"/>
  <c r="AD474" i="7"/>
  <c r="R463" i="7"/>
  <c r="R459" i="7"/>
  <c r="R458" i="7"/>
  <c r="AE476" i="7"/>
  <c r="AE480" i="7" s="1"/>
  <c r="S465" i="7" s="1"/>
  <c r="AD476" i="7"/>
  <c r="R487" i="7"/>
  <c r="R467" i="7"/>
  <c r="R480" i="7"/>
  <c r="R466" i="7"/>
  <c r="AD470" i="7"/>
  <c r="S490" i="7"/>
  <c r="R490" i="7"/>
  <c r="AD462" i="7"/>
  <c r="AD467" i="7"/>
  <c r="AD466" i="7"/>
  <c r="AE495" i="7"/>
  <c r="AD495" i="7"/>
  <c r="AE481" i="7"/>
  <c r="AD481" i="7"/>
  <c r="R489" i="7"/>
  <c r="R486" i="7"/>
  <c r="AD468" i="7"/>
  <c r="S419" i="7"/>
  <c r="R419" i="7"/>
  <c r="AD421" i="7"/>
  <c r="R406" i="7"/>
  <c r="R405" i="7"/>
  <c r="R414" i="7"/>
  <c r="R427" i="7"/>
  <c r="AD413" i="7"/>
  <c r="AD412" i="7"/>
  <c r="R433" i="7"/>
  <c r="R436" i="7"/>
  <c r="R407" i="7"/>
  <c r="AE423" i="7"/>
  <c r="AD423" i="7"/>
  <c r="R410" i="7"/>
  <c r="R422" i="7"/>
  <c r="R417" i="7"/>
  <c r="AE433" i="7"/>
  <c r="AD433" i="7"/>
  <c r="AD414" i="7"/>
  <c r="AE441" i="7"/>
  <c r="AD441" i="7"/>
  <c r="R363" i="7"/>
  <c r="AD370" i="7"/>
  <c r="R354" i="7"/>
  <c r="R389" i="7"/>
  <c r="R368" i="7"/>
  <c r="R355" i="7"/>
  <c r="AE381" i="7"/>
  <c r="AD381" i="7"/>
  <c r="AE377" i="7"/>
  <c r="AD377" i="7"/>
  <c r="R382" i="7"/>
  <c r="R385" i="7"/>
  <c r="R356" i="7"/>
  <c r="R372" i="7"/>
  <c r="AD366" i="7"/>
  <c r="AD360" i="7"/>
  <c r="AD357" i="7"/>
  <c r="AD362" i="7"/>
  <c r="AD363" i="7"/>
  <c r="R359" i="7"/>
  <c r="S359" i="7"/>
  <c r="AE382" i="7"/>
  <c r="AD382" i="7"/>
  <c r="AD367" i="7"/>
  <c r="AE388" i="7"/>
  <c r="AD388" i="7"/>
  <c r="AB639" i="7" l="1"/>
  <c r="P628" i="7"/>
  <c r="P632" i="7"/>
  <c r="P624" i="7"/>
  <c r="P623" i="7"/>
  <c r="P655" i="7"/>
  <c r="P642" i="7"/>
  <c r="AB631" i="7"/>
  <c r="P651" i="7"/>
  <c r="P654" i="7"/>
  <c r="P625" i="7"/>
  <c r="P641" i="7"/>
  <c r="AB634" i="7"/>
  <c r="P637" i="7"/>
  <c r="P643" i="7"/>
  <c r="AB633" i="7"/>
  <c r="AC651" i="7"/>
  <c r="AB651" i="7"/>
  <c r="AC583" i="7"/>
  <c r="AB583" i="7"/>
  <c r="P568" i="7"/>
  <c r="P567" i="7"/>
  <c r="AC588" i="7"/>
  <c r="AB588" i="7"/>
  <c r="P589" i="7"/>
  <c r="P591" i="7"/>
  <c r="P599" i="7"/>
  <c r="P595" i="7"/>
  <c r="P598" i="7"/>
  <c r="P587" i="7"/>
  <c r="P586" i="7"/>
  <c r="AB579" i="7"/>
  <c r="AB571" i="7"/>
  <c r="AB575" i="7"/>
  <c r="P572" i="7"/>
  <c r="AC591" i="7" l="1"/>
  <c r="AR591" i="7" s="1"/>
  <c r="AB591" i="7"/>
  <c r="P514" i="7"/>
  <c r="P513" i="7"/>
  <c r="AN513" i="7" s="1"/>
  <c r="AC531" i="7"/>
  <c r="AC535" i="7" s="1"/>
  <c r="AB531" i="7"/>
  <c r="AQ531" i="7" s="1"/>
  <c r="P535" i="7"/>
  <c r="P527" i="7"/>
  <c r="P538" i="7"/>
  <c r="AN538" i="7" s="1"/>
  <c r="P532" i="7"/>
  <c r="P530" i="7"/>
  <c r="AN530" i="7" s="1"/>
  <c r="P541" i="7"/>
  <c r="AN541" i="7" s="1"/>
  <c r="AC550" i="7"/>
  <c r="AB550" i="7"/>
  <c r="AQ550" i="7" s="1"/>
  <c r="P472" i="7"/>
  <c r="Q472" i="7"/>
  <c r="AB474" i="7"/>
  <c r="P459" i="7"/>
  <c r="P458" i="7"/>
  <c r="AN458" i="7" s="1"/>
  <c r="P467" i="7"/>
  <c r="P492" i="7"/>
  <c r="P480" i="7"/>
  <c r="P460" i="7"/>
  <c r="AN460" i="7" s="1"/>
  <c r="P489" i="7"/>
  <c r="AN489" i="7" s="1"/>
  <c r="AB466" i="7"/>
  <c r="AB467" i="7"/>
  <c r="AB462" i="7"/>
  <c r="P478" i="7"/>
  <c r="AB464" i="7"/>
  <c r="AQ464" i="7" s="1"/>
  <c r="P486" i="7"/>
  <c r="AN486" i="7" s="1"/>
  <c r="P477" i="7"/>
  <c r="AN477" i="7" s="1"/>
  <c r="P463" i="7"/>
  <c r="AN463" i="7" s="1"/>
  <c r="AC469" i="7"/>
  <c r="AB469" i="7"/>
  <c r="P476" i="7"/>
  <c r="AN476" i="7" s="1"/>
  <c r="P493" i="7"/>
  <c r="AN493" i="7" s="1"/>
  <c r="AB463" i="7"/>
  <c r="P470" i="7"/>
  <c r="Q425" i="7"/>
  <c r="P425" i="7"/>
  <c r="AN425" i="7" s="1"/>
  <c r="P424" i="7"/>
  <c r="AN424" i="7" s="1"/>
  <c r="Q424" i="7"/>
  <c r="AC444" i="7"/>
  <c r="AR444" i="7" s="1"/>
  <c r="AB444" i="7"/>
  <c r="AC421" i="7"/>
  <c r="AB421" i="7"/>
  <c r="AQ421" i="7" s="1"/>
  <c r="P406" i="7"/>
  <c r="AN406" i="7" s="1"/>
  <c r="P405" i="7"/>
  <c r="P439" i="7"/>
  <c r="P427" i="7"/>
  <c r="P413" i="7"/>
  <c r="P433" i="7"/>
  <c r="AN433" i="7" s="1"/>
  <c r="AB409" i="7"/>
  <c r="AH409" i="7" s="1"/>
  <c r="AB413" i="7"/>
  <c r="AH413" i="7" s="1"/>
  <c r="AB414" i="7"/>
  <c r="P409" i="7"/>
  <c r="AN409" i="7" s="1"/>
  <c r="P436" i="7"/>
  <c r="P407" i="7"/>
  <c r="AN407" i="7" s="1"/>
  <c r="P423" i="7"/>
  <c r="AN423" i="7" s="1"/>
  <c r="AB417" i="7"/>
  <c r="P440" i="7"/>
  <c r="P418" i="7"/>
  <c r="AC370" i="7"/>
  <c r="AB370" i="7"/>
  <c r="P355" i="7"/>
  <c r="P354" i="7"/>
  <c r="AN354" i="7" s="1"/>
  <c r="P376" i="7"/>
  <c r="P380" i="7"/>
  <c r="P368" i="7"/>
  <c r="AB365" i="7"/>
  <c r="AQ365" i="7" s="1"/>
  <c r="AC365" i="7"/>
  <c r="AC373" i="7"/>
  <c r="AB373" i="7"/>
  <c r="P373" i="7"/>
  <c r="AB363" i="7"/>
  <c r="P382" i="7"/>
  <c r="P371" i="7"/>
  <c r="AC381" i="7"/>
  <c r="AC383" i="7" s="1"/>
  <c r="AB381" i="7"/>
  <c r="V405" i="7"/>
  <c r="AN405" i="7"/>
  <c r="AN440" i="7"/>
  <c r="AQ405" i="7"/>
  <c r="AR405" i="7"/>
  <c r="AQ488" i="7"/>
  <c r="AQ476" i="7"/>
  <c r="AN548" i="7"/>
  <c r="AR543" i="7"/>
  <c r="AQ513" i="7"/>
  <c r="AN602" i="7"/>
  <c r="AR585" i="7"/>
  <c r="AQ585" i="7"/>
  <c r="AQ567" i="7"/>
  <c r="AR567" i="7"/>
  <c r="AN658" i="7"/>
  <c r="AN623" i="7"/>
  <c r="AR641" i="7"/>
  <c r="AQ641" i="7"/>
  <c r="AR663" i="7"/>
  <c r="AQ663" i="7"/>
  <c r="AR662" i="7"/>
  <c r="AQ662" i="7"/>
  <c r="AR660" i="7"/>
  <c r="AQ660" i="7"/>
  <c r="AR659" i="7"/>
  <c r="AQ659" i="7"/>
  <c r="AR658" i="7"/>
  <c r="AQ658" i="7"/>
  <c r="AR657" i="7"/>
  <c r="AQ657" i="7"/>
  <c r="AN657" i="7"/>
  <c r="AR656" i="7"/>
  <c r="AQ656" i="7"/>
  <c r="AN656" i="7"/>
  <c r="AR655" i="7"/>
  <c r="AQ655" i="7"/>
  <c r="AN655" i="7"/>
  <c r="AR654" i="7"/>
  <c r="AQ654" i="7"/>
  <c r="AN654" i="7"/>
  <c r="AR653" i="7"/>
  <c r="AQ653" i="7"/>
  <c r="AN652" i="7"/>
  <c r="AR651" i="7"/>
  <c r="AQ651" i="7"/>
  <c r="AN651" i="7"/>
  <c r="AR650" i="7"/>
  <c r="AQ650" i="7"/>
  <c r="AN650" i="7"/>
  <c r="AR649" i="7"/>
  <c r="AQ649" i="7"/>
  <c r="AN649" i="7"/>
  <c r="AN648" i="7"/>
  <c r="AR647" i="7"/>
  <c r="AQ647" i="7"/>
  <c r="AN647" i="7"/>
  <c r="AR646" i="7"/>
  <c r="AQ646" i="7"/>
  <c r="AN646" i="7"/>
  <c r="AN645" i="7"/>
  <c r="AN644" i="7"/>
  <c r="AR643" i="7"/>
  <c r="AQ643" i="7"/>
  <c r="AN643" i="7"/>
  <c r="AR642" i="7"/>
  <c r="AQ642" i="7"/>
  <c r="AN642" i="7"/>
  <c r="AN641" i="7"/>
  <c r="AR640" i="7"/>
  <c r="AQ640" i="7"/>
  <c r="AN640" i="7"/>
  <c r="AQ639" i="7"/>
  <c r="AN639" i="7"/>
  <c r="AN638" i="7"/>
  <c r="AQ637" i="7"/>
  <c r="AQ636" i="7"/>
  <c r="AN636" i="7"/>
  <c r="AQ635" i="7"/>
  <c r="AN635" i="7"/>
  <c r="AQ634" i="7"/>
  <c r="AQ633" i="7"/>
  <c r="AQ632" i="7"/>
  <c r="AN632" i="7"/>
  <c r="AQ631" i="7"/>
  <c r="AN631" i="7"/>
  <c r="AQ630" i="7"/>
  <c r="AQ629" i="7"/>
  <c r="AQ628" i="7"/>
  <c r="AN628" i="7"/>
  <c r="AQ627" i="7"/>
  <c r="AN627" i="7"/>
  <c r="AQ626" i="7"/>
  <c r="AQ625" i="7"/>
  <c r="AN625" i="7"/>
  <c r="AQ624" i="7"/>
  <c r="AN624" i="7"/>
  <c r="AQ623" i="7"/>
  <c r="AR607" i="7"/>
  <c r="AQ607" i="7"/>
  <c r="AR606" i="7"/>
  <c r="AQ606" i="7"/>
  <c r="AR604" i="7"/>
  <c r="AQ604" i="7"/>
  <c r="AR603" i="7"/>
  <c r="AQ603" i="7"/>
  <c r="AR602" i="7"/>
  <c r="AQ602" i="7"/>
  <c r="AR601" i="7"/>
  <c r="AQ601" i="7"/>
  <c r="AO601" i="7"/>
  <c r="AN601" i="7"/>
  <c r="AR600" i="7"/>
  <c r="AQ600" i="7"/>
  <c r="AO600" i="7"/>
  <c r="AN600" i="7"/>
  <c r="AR599" i="7"/>
  <c r="AQ599" i="7"/>
  <c r="AN599" i="7"/>
  <c r="AR598" i="7"/>
  <c r="AQ598" i="7"/>
  <c r="AN598" i="7"/>
  <c r="AR597" i="7"/>
  <c r="AQ597" i="7"/>
  <c r="AN596" i="7"/>
  <c r="AN595" i="7"/>
  <c r="AR594" i="7"/>
  <c r="AQ594" i="7"/>
  <c r="AN594" i="7"/>
  <c r="AR593" i="7"/>
  <c r="AQ593" i="7"/>
  <c r="AN593" i="7"/>
  <c r="AN592" i="7"/>
  <c r="AQ591" i="7"/>
  <c r="AN591" i="7"/>
  <c r="AR590" i="7"/>
  <c r="AQ590" i="7"/>
  <c r="AN590" i="7"/>
  <c r="AN589" i="7"/>
  <c r="AN588" i="7"/>
  <c r="AR587" i="7"/>
  <c r="AQ587" i="7"/>
  <c r="AN587" i="7"/>
  <c r="AR586" i="7"/>
  <c r="AQ586" i="7"/>
  <c r="AN586" i="7"/>
  <c r="AN585" i="7"/>
  <c r="AR584" i="7"/>
  <c r="AQ584" i="7"/>
  <c r="AN584" i="7"/>
  <c r="AQ583" i="7"/>
  <c r="AN583" i="7"/>
  <c r="AN582" i="7"/>
  <c r="AQ581" i="7"/>
  <c r="AN581" i="7"/>
  <c r="AQ580" i="7"/>
  <c r="AN580" i="7"/>
  <c r="AQ579" i="7"/>
  <c r="AN579" i="7"/>
  <c r="AQ578" i="7"/>
  <c r="AQ577" i="7"/>
  <c r="AQ576" i="7"/>
  <c r="AN576" i="7"/>
  <c r="AQ575" i="7"/>
  <c r="AN575" i="7"/>
  <c r="AQ574" i="7"/>
  <c r="AQ573" i="7"/>
  <c r="AQ572" i="7"/>
  <c r="AN572" i="7"/>
  <c r="AQ571" i="7"/>
  <c r="AN571" i="7"/>
  <c r="AQ570" i="7"/>
  <c r="AQ569" i="7"/>
  <c r="AN569" i="7"/>
  <c r="AQ568" i="7"/>
  <c r="AN568" i="7"/>
  <c r="AN567" i="7"/>
  <c r="AR553" i="7"/>
  <c r="AQ553" i="7"/>
  <c r="AR552" i="7"/>
  <c r="AQ552" i="7"/>
  <c r="AR550" i="7"/>
  <c r="AR549" i="7"/>
  <c r="AQ549" i="7"/>
  <c r="AR548" i="7"/>
  <c r="AQ548" i="7"/>
  <c r="AR547" i="7"/>
  <c r="AQ547" i="7"/>
  <c r="AO547" i="7"/>
  <c r="AN547" i="7"/>
  <c r="AR546" i="7"/>
  <c r="AQ546" i="7"/>
  <c r="AO546" i="7"/>
  <c r="AN546" i="7"/>
  <c r="AR545" i="7"/>
  <c r="AQ545" i="7"/>
  <c r="AN545" i="7"/>
  <c r="AR544" i="7"/>
  <c r="AQ544" i="7"/>
  <c r="AN544" i="7"/>
  <c r="AQ543" i="7"/>
  <c r="AN542" i="7"/>
  <c r="AR541" i="7"/>
  <c r="AQ541" i="7"/>
  <c r="AR540" i="7"/>
  <c r="AQ540" i="7"/>
  <c r="AN540" i="7"/>
  <c r="AR539" i="7"/>
  <c r="AQ539" i="7"/>
  <c r="AN539" i="7"/>
  <c r="AR537" i="7"/>
  <c r="AQ537" i="7"/>
  <c r="AN537" i="7"/>
  <c r="AQ536" i="7"/>
  <c r="AN536" i="7"/>
  <c r="AN535" i="7"/>
  <c r="AR534" i="7"/>
  <c r="AQ534" i="7"/>
  <c r="AN534" i="7"/>
  <c r="AR533" i="7"/>
  <c r="AQ533" i="7"/>
  <c r="AN533" i="7"/>
  <c r="AR532" i="7"/>
  <c r="AQ532" i="7"/>
  <c r="AN532" i="7"/>
  <c r="AN531" i="7"/>
  <c r="AR530" i="7"/>
  <c r="AQ530" i="7"/>
  <c r="AQ529" i="7"/>
  <c r="AN529" i="7"/>
  <c r="AN528" i="7"/>
  <c r="AQ527" i="7"/>
  <c r="AN527" i="7"/>
  <c r="AQ526" i="7"/>
  <c r="AN526" i="7"/>
  <c r="AQ525" i="7"/>
  <c r="AN525" i="7"/>
  <c r="AQ524" i="7"/>
  <c r="AQ523" i="7"/>
  <c r="AQ522" i="7"/>
  <c r="AN522" i="7"/>
  <c r="AQ521" i="7"/>
  <c r="AN521" i="7"/>
  <c r="AQ520" i="7"/>
  <c r="AQ519" i="7"/>
  <c r="AQ518" i="7"/>
  <c r="AN518" i="7"/>
  <c r="AQ517" i="7"/>
  <c r="AN517" i="7"/>
  <c r="AQ516" i="7"/>
  <c r="AQ515" i="7"/>
  <c r="AN515" i="7"/>
  <c r="AQ514" i="7"/>
  <c r="AN514" i="7"/>
  <c r="AR498" i="7"/>
  <c r="AQ498" i="7"/>
  <c r="AR497" i="7"/>
  <c r="AQ497" i="7"/>
  <c r="AR495" i="7"/>
  <c r="AQ495" i="7"/>
  <c r="AR494" i="7"/>
  <c r="AQ494" i="7"/>
  <c r="AR493" i="7"/>
  <c r="AQ493" i="7"/>
  <c r="AR492" i="7"/>
  <c r="AQ492" i="7"/>
  <c r="AN492" i="7"/>
  <c r="AR491" i="7"/>
  <c r="AQ491" i="7"/>
  <c r="AO491" i="7"/>
  <c r="AN491" i="7"/>
  <c r="AR490" i="7"/>
  <c r="AQ490" i="7"/>
  <c r="AO490" i="7"/>
  <c r="AN490" i="7"/>
  <c r="AR489" i="7"/>
  <c r="AQ489" i="7"/>
  <c r="AR488" i="7"/>
  <c r="AN487" i="7"/>
  <c r="AR486" i="7"/>
  <c r="AQ486" i="7"/>
  <c r="AR485" i="7"/>
  <c r="AQ485" i="7"/>
  <c r="AN485" i="7"/>
  <c r="AR484" i="7"/>
  <c r="AQ484" i="7"/>
  <c r="AN484" i="7"/>
  <c r="AN483" i="7"/>
  <c r="AR482" i="7"/>
  <c r="AQ482" i="7"/>
  <c r="AN482" i="7"/>
  <c r="AQ481" i="7"/>
  <c r="AN481" i="7"/>
  <c r="AN480" i="7"/>
  <c r="AR479" i="7"/>
  <c r="AQ479" i="7"/>
  <c r="AR478" i="7"/>
  <c r="AQ478" i="7"/>
  <c r="AN478" i="7"/>
  <c r="AR477" i="7"/>
  <c r="AQ477" i="7"/>
  <c r="AR476" i="7"/>
  <c r="AR475" i="7"/>
  <c r="AQ475" i="7"/>
  <c r="AN475" i="7"/>
  <c r="AQ474" i="7"/>
  <c r="AN474" i="7"/>
  <c r="AN473" i="7"/>
  <c r="AQ472" i="7"/>
  <c r="AN472" i="7"/>
  <c r="AQ471" i="7"/>
  <c r="AN471" i="7"/>
  <c r="AQ470" i="7"/>
  <c r="AN470" i="7"/>
  <c r="AQ469" i="7"/>
  <c r="AQ468" i="7"/>
  <c r="AQ467" i="7"/>
  <c r="AN467" i="7"/>
  <c r="AQ466" i="7"/>
  <c r="AN466" i="7"/>
  <c r="AQ465" i="7"/>
  <c r="AQ463" i="7"/>
  <c r="AQ462" i="7"/>
  <c r="AN462" i="7"/>
  <c r="AQ461" i="7"/>
  <c r="AQ460" i="7"/>
  <c r="AQ459" i="7"/>
  <c r="AN459" i="7"/>
  <c r="AQ458" i="7"/>
  <c r="AR445" i="7"/>
  <c r="AQ445" i="7"/>
  <c r="AQ444" i="7"/>
  <c r="AR442" i="7"/>
  <c r="AQ442" i="7"/>
  <c r="AR441" i="7"/>
  <c r="AQ441" i="7"/>
  <c r="AR440" i="7"/>
  <c r="AQ440" i="7"/>
  <c r="AR439" i="7"/>
  <c r="AQ439" i="7"/>
  <c r="AN439" i="7"/>
  <c r="AR438" i="7"/>
  <c r="AQ438" i="7"/>
  <c r="AO438" i="7"/>
  <c r="AN438" i="7"/>
  <c r="AR437" i="7"/>
  <c r="AQ437" i="7"/>
  <c r="AO437" i="7"/>
  <c r="AN437" i="7"/>
  <c r="AR436" i="7"/>
  <c r="AQ436" i="7"/>
  <c r="AN436" i="7"/>
  <c r="AR435" i="7"/>
  <c r="AQ435" i="7"/>
  <c r="AN434" i="7"/>
  <c r="AR433" i="7"/>
  <c r="AQ433" i="7"/>
  <c r="AR432" i="7"/>
  <c r="AQ432" i="7"/>
  <c r="AN432" i="7"/>
  <c r="AR431" i="7"/>
  <c r="AQ431" i="7"/>
  <c r="AN431" i="7"/>
  <c r="AN430" i="7"/>
  <c r="AR429" i="7"/>
  <c r="AQ429" i="7"/>
  <c r="AN429" i="7"/>
  <c r="AR428" i="7"/>
  <c r="AQ428" i="7"/>
  <c r="AN428" i="7"/>
  <c r="AN427" i="7"/>
  <c r="AN426" i="7"/>
  <c r="AR425" i="7"/>
  <c r="AQ425" i="7"/>
  <c r="AR424" i="7"/>
  <c r="AQ424" i="7"/>
  <c r="AR423" i="7"/>
  <c r="AQ423" i="7"/>
  <c r="AR422" i="7"/>
  <c r="AQ422" i="7"/>
  <c r="AN422" i="7"/>
  <c r="AN421" i="7"/>
  <c r="AN420" i="7"/>
  <c r="AQ419" i="7"/>
  <c r="AQ418" i="7"/>
  <c r="AN418" i="7"/>
  <c r="AQ417" i="7"/>
  <c r="AN417" i="7"/>
  <c r="AQ416" i="7"/>
  <c r="AQ415" i="7"/>
  <c r="AQ414" i="7"/>
  <c r="AN414" i="7"/>
  <c r="AQ413" i="7"/>
  <c r="AN413" i="7"/>
  <c r="AQ412" i="7"/>
  <c r="AQ411" i="7"/>
  <c r="AQ410" i="7"/>
  <c r="AN410" i="7"/>
  <c r="AQ409" i="7"/>
  <c r="AQ408" i="7"/>
  <c r="AQ407" i="7"/>
  <c r="AQ406" i="7"/>
  <c r="AK405" i="7"/>
  <c r="AJ405" i="7"/>
  <c r="AK458" i="7"/>
  <c r="AI458" i="7"/>
  <c r="AJ513" i="7"/>
  <c r="AK567" i="7"/>
  <c r="AJ567" i="7"/>
  <c r="AJ623" i="7"/>
  <c r="AJ639" i="7"/>
  <c r="AJ637" i="7"/>
  <c r="AJ636" i="7"/>
  <c r="AJ635" i="7"/>
  <c r="AJ634" i="7"/>
  <c r="AJ633" i="7"/>
  <c r="AJ632" i="7"/>
  <c r="AJ631" i="7"/>
  <c r="AJ630" i="7"/>
  <c r="AJ629" i="7"/>
  <c r="AJ628" i="7"/>
  <c r="AJ627" i="7"/>
  <c r="AJ626" i="7"/>
  <c r="AJ625" i="7"/>
  <c r="AJ624" i="7"/>
  <c r="AJ583" i="7"/>
  <c r="AJ581" i="7"/>
  <c r="AJ580" i="7"/>
  <c r="AJ579" i="7"/>
  <c r="AJ578" i="7"/>
  <c r="AJ577" i="7"/>
  <c r="AJ576" i="7"/>
  <c r="AJ575" i="7"/>
  <c r="AJ574" i="7"/>
  <c r="AJ573" i="7"/>
  <c r="AJ572" i="7"/>
  <c r="AJ571" i="7"/>
  <c r="AJ570" i="7"/>
  <c r="AJ569" i="7"/>
  <c r="AJ568" i="7"/>
  <c r="AJ529" i="7"/>
  <c r="AJ527" i="7"/>
  <c r="AJ526" i="7"/>
  <c r="AJ525" i="7"/>
  <c r="AJ524" i="7"/>
  <c r="AJ523" i="7"/>
  <c r="AJ522" i="7"/>
  <c r="AJ521" i="7"/>
  <c r="AJ520" i="7"/>
  <c r="AJ519" i="7"/>
  <c r="AJ518" i="7"/>
  <c r="AJ517" i="7"/>
  <c r="AJ516" i="7"/>
  <c r="AJ515" i="7"/>
  <c r="AJ514" i="7"/>
  <c r="AJ474" i="7"/>
  <c r="AJ472" i="7"/>
  <c r="AJ471" i="7"/>
  <c r="AJ470" i="7"/>
  <c r="AJ469" i="7"/>
  <c r="AJ468" i="7"/>
  <c r="AJ467" i="7"/>
  <c r="AJ466" i="7"/>
  <c r="AJ465" i="7"/>
  <c r="AJ464" i="7"/>
  <c r="AJ463" i="7"/>
  <c r="AJ462" i="7"/>
  <c r="AJ461" i="7"/>
  <c r="AJ460" i="7"/>
  <c r="AJ459" i="7"/>
  <c r="AJ458" i="7"/>
  <c r="AJ421" i="7"/>
  <c r="AJ419" i="7"/>
  <c r="AJ418" i="7"/>
  <c r="AJ417" i="7"/>
  <c r="AJ416" i="7"/>
  <c r="AJ415" i="7"/>
  <c r="AJ414" i="7"/>
  <c r="AJ413" i="7"/>
  <c r="AJ412" i="7"/>
  <c r="AJ411" i="7"/>
  <c r="AJ410" i="7"/>
  <c r="AJ409" i="7"/>
  <c r="AJ408" i="7"/>
  <c r="AJ407" i="7"/>
  <c r="AJ406" i="7"/>
  <c r="AI405" i="7"/>
  <c r="AH405" i="7"/>
  <c r="AH458" i="7"/>
  <c r="AH513" i="7"/>
  <c r="AI567" i="7"/>
  <c r="AH567" i="7"/>
  <c r="AH623" i="7"/>
  <c r="AH639" i="7"/>
  <c r="AH637" i="7"/>
  <c r="AH636" i="7"/>
  <c r="AH635" i="7"/>
  <c r="AH634" i="7"/>
  <c r="AH633" i="7"/>
  <c r="AH632" i="7"/>
  <c r="AH631" i="7"/>
  <c r="AH630" i="7"/>
  <c r="AH629" i="7"/>
  <c r="AH628" i="7"/>
  <c r="AH627" i="7"/>
  <c r="AH626" i="7"/>
  <c r="AH625" i="7"/>
  <c r="AH624" i="7"/>
  <c r="AH583" i="7"/>
  <c r="AH581" i="7"/>
  <c r="AH580" i="7"/>
  <c r="AH579" i="7"/>
  <c r="AH578" i="7"/>
  <c r="AH577" i="7"/>
  <c r="AH576" i="7"/>
  <c r="AH575" i="7"/>
  <c r="AH574" i="7"/>
  <c r="AH573" i="7"/>
  <c r="AH572" i="7"/>
  <c r="AH571" i="7"/>
  <c r="AH570" i="7"/>
  <c r="AH569" i="7"/>
  <c r="AH568" i="7"/>
  <c r="AH529" i="7"/>
  <c r="AH527" i="7"/>
  <c r="AH526" i="7"/>
  <c r="AH525" i="7"/>
  <c r="AH524" i="7"/>
  <c r="AH523" i="7"/>
  <c r="AH522" i="7"/>
  <c r="AH521" i="7"/>
  <c r="AH520" i="7"/>
  <c r="AH519" i="7"/>
  <c r="AH518" i="7"/>
  <c r="AH517" i="7"/>
  <c r="AH516" i="7"/>
  <c r="AH515" i="7"/>
  <c r="AH514" i="7"/>
  <c r="AH474" i="7"/>
  <c r="AH472" i="7"/>
  <c r="AH471" i="7"/>
  <c r="AH470" i="7"/>
  <c r="AH469" i="7"/>
  <c r="AH468" i="7"/>
  <c r="AH467" i="7"/>
  <c r="AH466" i="7"/>
  <c r="AH465" i="7"/>
  <c r="AH463" i="7"/>
  <c r="AH462" i="7"/>
  <c r="AH461" i="7"/>
  <c r="AH460" i="7"/>
  <c r="AH459" i="7"/>
  <c r="AH419" i="7"/>
  <c r="AH418" i="7"/>
  <c r="AH417" i="7"/>
  <c r="AH416" i="7"/>
  <c r="AH415" i="7"/>
  <c r="AH414" i="7"/>
  <c r="AH412" i="7"/>
  <c r="AH411" i="7"/>
  <c r="AH410" i="7"/>
  <c r="AH408" i="7"/>
  <c r="AH407" i="7"/>
  <c r="AH406" i="7"/>
  <c r="AF638" i="7"/>
  <c r="T629" i="7" s="1"/>
  <c r="AF582" i="7"/>
  <c r="T573" i="7" s="1"/>
  <c r="AF528" i="7"/>
  <c r="T519" i="7" s="1"/>
  <c r="AF473" i="7"/>
  <c r="T464" i="7" s="1"/>
  <c r="AD638" i="7"/>
  <c r="AD582" i="7"/>
  <c r="AD528" i="7"/>
  <c r="AD473" i="7"/>
  <c r="AD420" i="7"/>
  <c r="R411" i="7" s="1"/>
  <c r="AA400" i="7"/>
  <c r="AA453" i="7"/>
  <c r="AA508" i="7"/>
  <c r="AA562" i="7"/>
  <c r="AA617" i="7"/>
  <c r="AB638" i="7"/>
  <c r="P629" i="7" s="1"/>
  <c r="AB582" i="7"/>
  <c r="P573" i="7" s="1"/>
  <c r="AB528" i="7"/>
  <c r="P519" i="7" s="1"/>
  <c r="AB473" i="7"/>
  <c r="P464" i="7" s="1"/>
  <c r="AB420" i="7"/>
  <c r="P411" i="7" s="1"/>
  <c r="AG664" i="7"/>
  <c r="AF664" i="7"/>
  <c r="AE664" i="7"/>
  <c r="AD664" i="7"/>
  <c r="AC664" i="7"/>
  <c r="AB664" i="7"/>
  <c r="AK663" i="7"/>
  <c r="AJ663" i="7"/>
  <c r="AI663" i="7"/>
  <c r="AH663" i="7"/>
  <c r="AK662" i="7"/>
  <c r="AJ662" i="7"/>
  <c r="AI662" i="7"/>
  <c r="AH662" i="7"/>
  <c r="AG661" i="7"/>
  <c r="U626" i="7" s="1"/>
  <c r="AF661" i="7"/>
  <c r="T626" i="7" s="1"/>
  <c r="AE661" i="7"/>
  <c r="AD661" i="7"/>
  <c r="R626" i="7" s="1"/>
  <c r="AC661" i="7"/>
  <c r="Q626" i="7" s="1"/>
  <c r="AB661" i="7"/>
  <c r="P626" i="7" s="1"/>
  <c r="AK660" i="7"/>
  <c r="AJ660" i="7"/>
  <c r="AI660" i="7"/>
  <c r="AH660" i="7"/>
  <c r="AK659" i="7"/>
  <c r="AJ659" i="7"/>
  <c r="AI659" i="7"/>
  <c r="AH659" i="7"/>
  <c r="AK658" i="7"/>
  <c r="AJ658" i="7"/>
  <c r="AI658" i="7"/>
  <c r="AH658" i="7"/>
  <c r="AK657" i="7"/>
  <c r="AJ657" i="7"/>
  <c r="AI657" i="7"/>
  <c r="AH657" i="7"/>
  <c r="AK656" i="7"/>
  <c r="AJ656" i="7"/>
  <c r="AI656" i="7"/>
  <c r="AH656" i="7"/>
  <c r="AK655" i="7"/>
  <c r="AJ655" i="7"/>
  <c r="AI655" i="7"/>
  <c r="AH655" i="7"/>
  <c r="AK654" i="7"/>
  <c r="AJ654" i="7"/>
  <c r="AI654" i="7"/>
  <c r="AH654" i="7"/>
  <c r="AK653" i="7"/>
  <c r="AJ653" i="7"/>
  <c r="AI653" i="7"/>
  <c r="AH653" i="7"/>
  <c r="AG652" i="7"/>
  <c r="U634" i="7" s="1"/>
  <c r="AF652" i="7"/>
  <c r="T634" i="7" s="1"/>
  <c r="AE652" i="7"/>
  <c r="AD652" i="7"/>
  <c r="AC652" i="7"/>
  <c r="Q634" i="7" s="1"/>
  <c r="AB652" i="7"/>
  <c r="P634" i="7" s="1"/>
  <c r="AK651" i="7"/>
  <c r="AJ651" i="7"/>
  <c r="AI651" i="7"/>
  <c r="AH651" i="7"/>
  <c r="AK650" i="7"/>
  <c r="AJ650" i="7"/>
  <c r="AI650" i="7"/>
  <c r="AH650" i="7"/>
  <c r="AJ649" i="7"/>
  <c r="AH649" i="7"/>
  <c r="AG648" i="7"/>
  <c r="U633" i="7" s="1"/>
  <c r="AF648" i="7"/>
  <c r="T633" i="7" s="1"/>
  <c r="AE648" i="7"/>
  <c r="S633" i="7" s="1"/>
  <c r="AD648" i="7"/>
  <c r="R633" i="7" s="1"/>
  <c r="AC648" i="7"/>
  <c r="Q633" i="7" s="1"/>
  <c r="AB648" i="7"/>
  <c r="P633" i="7" s="1"/>
  <c r="AK647" i="7"/>
  <c r="AJ647" i="7"/>
  <c r="AI647" i="7"/>
  <c r="AH647" i="7"/>
  <c r="AK646" i="7"/>
  <c r="AJ646" i="7"/>
  <c r="AI646" i="7"/>
  <c r="AE645" i="7"/>
  <c r="S630" i="7" s="1"/>
  <c r="AD645" i="7"/>
  <c r="AC645" i="7"/>
  <c r="Q630" i="7" s="1"/>
  <c r="AB645" i="7"/>
  <c r="AH644" i="7"/>
  <c r="AG644" i="7"/>
  <c r="AR644" i="7" s="1"/>
  <c r="AF644" i="7"/>
  <c r="AJ644" i="7" s="1"/>
  <c r="AK643" i="7"/>
  <c r="AJ643" i="7"/>
  <c r="AI643" i="7"/>
  <c r="AH643" i="7"/>
  <c r="AK642" i="7"/>
  <c r="AJ642" i="7"/>
  <c r="AI642" i="7"/>
  <c r="AH642" i="7"/>
  <c r="AK641" i="7"/>
  <c r="AJ641" i="7"/>
  <c r="AI641" i="7"/>
  <c r="AH641" i="7"/>
  <c r="AG608" i="7"/>
  <c r="AF608" i="7"/>
  <c r="AE608" i="7"/>
  <c r="AD608" i="7"/>
  <c r="AC608" i="7"/>
  <c r="AB608" i="7"/>
  <c r="AK607" i="7"/>
  <c r="AJ607" i="7"/>
  <c r="AI607" i="7"/>
  <c r="AH607" i="7"/>
  <c r="AK606" i="7"/>
  <c r="AJ606" i="7"/>
  <c r="AI606" i="7"/>
  <c r="AH606" i="7"/>
  <c r="AG605" i="7"/>
  <c r="U570" i="7" s="1"/>
  <c r="AF605" i="7"/>
  <c r="T570" i="7" s="1"/>
  <c r="AE605" i="7"/>
  <c r="S570" i="7" s="1"/>
  <c r="AD605" i="7"/>
  <c r="R570" i="7" s="1"/>
  <c r="AC605" i="7"/>
  <c r="Q570" i="7" s="1"/>
  <c r="AB605" i="7"/>
  <c r="P570" i="7" s="1"/>
  <c r="AK604" i="7"/>
  <c r="AJ604" i="7"/>
  <c r="AI604" i="7"/>
  <c r="AH604" i="7"/>
  <c r="AK603" i="7"/>
  <c r="AJ603" i="7"/>
  <c r="AI603" i="7"/>
  <c r="AH603" i="7"/>
  <c r="AK602" i="7"/>
  <c r="AJ602" i="7"/>
  <c r="AI602" i="7"/>
  <c r="AH602" i="7"/>
  <c r="AK601" i="7"/>
  <c r="AJ601" i="7"/>
  <c r="AI601" i="7"/>
  <c r="AH601" i="7"/>
  <c r="AK600" i="7"/>
  <c r="AJ600" i="7"/>
  <c r="AI600" i="7"/>
  <c r="AH600" i="7"/>
  <c r="AK599" i="7"/>
  <c r="AJ599" i="7"/>
  <c r="AI599" i="7"/>
  <c r="AH599" i="7"/>
  <c r="AK598" i="7"/>
  <c r="AJ598" i="7"/>
  <c r="AI598" i="7"/>
  <c r="AH598" i="7"/>
  <c r="AK597" i="7"/>
  <c r="AJ597" i="7"/>
  <c r="AI597" i="7"/>
  <c r="AH597" i="7"/>
  <c r="AG596" i="7"/>
  <c r="U578" i="7" s="1"/>
  <c r="AF596" i="7"/>
  <c r="T578" i="7" s="1"/>
  <c r="AC596" i="7"/>
  <c r="AB596" i="7"/>
  <c r="AE595" i="7"/>
  <c r="AI595" i="7" s="1"/>
  <c r="AD595" i="7"/>
  <c r="AH595" i="7" s="1"/>
  <c r="AK594" i="7"/>
  <c r="AJ594" i="7"/>
  <c r="AI594" i="7"/>
  <c r="AH594" i="7"/>
  <c r="AJ593" i="7"/>
  <c r="AH593" i="7"/>
  <c r="AG592" i="7"/>
  <c r="U577" i="7" s="1"/>
  <c r="AF592" i="7"/>
  <c r="T577" i="7" s="1"/>
  <c r="AE592" i="7"/>
  <c r="AD592" i="7"/>
  <c r="AC592" i="7"/>
  <c r="Q577" i="7" s="1"/>
  <c r="AB592" i="7"/>
  <c r="P577" i="7" s="1"/>
  <c r="AK591" i="7"/>
  <c r="AJ591" i="7"/>
  <c r="AI591" i="7"/>
  <c r="AH591" i="7"/>
  <c r="AK590" i="7"/>
  <c r="AJ590" i="7"/>
  <c r="AI590" i="7"/>
  <c r="AE589" i="7"/>
  <c r="AD589" i="7"/>
  <c r="AC589" i="7"/>
  <c r="Q574" i="7" s="1"/>
  <c r="AB589" i="7"/>
  <c r="P574" i="7" s="1"/>
  <c r="AH588" i="7"/>
  <c r="AG588" i="7"/>
  <c r="AG589" i="7" s="1"/>
  <c r="U574" i="7" s="1"/>
  <c r="AF588" i="7"/>
  <c r="AJ588" i="7" s="1"/>
  <c r="AK587" i="7"/>
  <c r="AJ587" i="7"/>
  <c r="AI587" i="7"/>
  <c r="AH587" i="7"/>
  <c r="AK586" i="7"/>
  <c r="AJ586" i="7"/>
  <c r="AI586" i="7"/>
  <c r="AH586" i="7"/>
  <c r="AK585" i="7"/>
  <c r="AJ585" i="7"/>
  <c r="AI585" i="7"/>
  <c r="AH585" i="7"/>
  <c r="AG446" i="7"/>
  <c r="AF446" i="7"/>
  <c r="AE446" i="7"/>
  <c r="AD446" i="7"/>
  <c r="AC446" i="7"/>
  <c r="AB446" i="7"/>
  <c r="AK445" i="7"/>
  <c r="AJ445" i="7"/>
  <c r="AI445" i="7"/>
  <c r="AH445" i="7"/>
  <c r="AK444" i="7"/>
  <c r="AJ444" i="7"/>
  <c r="AI444" i="7"/>
  <c r="AH444" i="7"/>
  <c r="AG443" i="7"/>
  <c r="U408" i="7" s="1"/>
  <c r="AF443" i="7"/>
  <c r="T408" i="7" s="1"/>
  <c r="AE443" i="7"/>
  <c r="AD443" i="7"/>
  <c r="R408" i="7" s="1"/>
  <c r="AC443" i="7"/>
  <c r="Q408" i="7" s="1"/>
  <c r="AB443" i="7"/>
  <c r="P408" i="7" s="1"/>
  <c r="AK442" i="7"/>
  <c r="AJ442" i="7"/>
  <c r="AI442" i="7"/>
  <c r="AH442" i="7"/>
  <c r="AK441" i="7"/>
  <c r="AJ441" i="7"/>
  <c r="AI441" i="7"/>
  <c r="AH441" i="7"/>
  <c r="AK440" i="7"/>
  <c r="AJ440" i="7"/>
  <c r="AI440" i="7"/>
  <c r="AH440" i="7"/>
  <c r="AK439" i="7"/>
  <c r="AJ439" i="7"/>
  <c r="AI439" i="7"/>
  <c r="AH439" i="7"/>
  <c r="AK438" i="7"/>
  <c r="AJ438" i="7"/>
  <c r="AI438" i="7"/>
  <c r="AH438" i="7"/>
  <c r="AK437" i="7"/>
  <c r="AJ437" i="7"/>
  <c r="AI437" i="7"/>
  <c r="AH437" i="7"/>
  <c r="AK436" i="7"/>
  <c r="AJ436" i="7"/>
  <c r="AI436" i="7"/>
  <c r="AH436" i="7"/>
  <c r="AK435" i="7"/>
  <c r="AJ435" i="7"/>
  <c r="AI435" i="7"/>
  <c r="AH435" i="7"/>
  <c r="AG434" i="7"/>
  <c r="U416" i="7" s="1"/>
  <c r="AF434" i="7"/>
  <c r="T416" i="7" s="1"/>
  <c r="AD434" i="7"/>
  <c r="AC434" i="7"/>
  <c r="Q416" i="7" s="1"/>
  <c r="AB434" i="7"/>
  <c r="P416" i="7" s="1"/>
  <c r="AK433" i="7"/>
  <c r="AJ433" i="7"/>
  <c r="AI433" i="7"/>
  <c r="AH433" i="7"/>
  <c r="AE434" i="7"/>
  <c r="AK432" i="7"/>
  <c r="AJ432" i="7"/>
  <c r="AI432" i="7"/>
  <c r="AH432" i="7"/>
  <c r="AJ431" i="7"/>
  <c r="AH431" i="7"/>
  <c r="AG430" i="7"/>
  <c r="U415" i="7" s="1"/>
  <c r="AF430" i="7"/>
  <c r="T415" i="7" s="1"/>
  <c r="AE430" i="7"/>
  <c r="S415" i="7" s="1"/>
  <c r="AD430" i="7"/>
  <c r="R415" i="7" s="1"/>
  <c r="AB430" i="7"/>
  <c r="P415" i="7" s="1"/>
  <c r="AK429" i="7"/>
  <c r="AJ429" i="7"/>
  <c r="AI429" i="7"/>
  <c r="AH429" i="7"/>
  <c r="AK428" i="7"/>
  <c r="AJ428" i="7"/>
  <c r="AI428" i="7"/>
  <c r="AC430" i="7"/>
  <c r="AE427" i="7"/>
  <c r="AD427" i="7"/>
  <c r="R412" i="7" s="1"/>
  <c r="AN412" i="7" s="1"/>
  <c r="AC427" i="7"/>
  <c r="AB427" i="7"/>
  <c r="AH426" i="7"/>
  <c r="AG426" i="7"/>
  <c r="AG427" i="7" s="1"/>
  <c r="U412" i="7" s="1"/>
  <c r="AF426" i="7"/>
  <c r="AF427" i="7" s="1"/>
  <c r="T412" i="7" s="1"/>
  <c r="AK425" i="7"/>
  <c r="AJ425" i="7"/>
  <c r="AI425" i="7"/>
  <c r="AH425" i="7"/>
  <c r="AK424" i="7"/>
  <c r="AJ424" i="7"/>
  <c r="AI424" i="7"/>
  <c r="AH424" i="7"/>
  <c r="AK423" i="7"/>
  <c r="AJ423" i="7"/>
  <c r="AI423" i="7"/>
  <c r="AH423" i="7"/>
  <c r="AG554" i="7"/>
  <c r="AF554" i="7"/>
  <c r="AE554" i="7"/>
  <c r="AD554" i="7"/>
  <c r="AC554" i="7"/>
  <c r="AB554" i="7"/>
  <c r="AK553" i="7"/>
  <c r="AJ553" i="7"/>
  <c r="AI553" i="7"/>
  <c r="AH553" i="7"/>
  <c r="AK552" i="7"/>
  <c r="AJ552" i="7"/>
  <c r="AI552" i="7"/>
  <c r="AH552" i="7"/>
  <c r="AG551" i="7"/>
  <c r="U516" i="7" s="1"/>
  <c r="AF551" i="7"/>
  <c r="T516" i="7" s="1"/>
  <c r="AE551" i="7"/>
  <c r="S516" i="7" s="1"/>
  <c r="AD551" i="7"/>
  <c r="R516" i="7" s="1"/>
  <c r="AC551" i="7"/>
  <c r="AB551" i="7"/>
  <c r="AK550" i="7"/>
  <c r="AJ550" i="7"/>
  <c r="AI550" i="7"/>
  <c r="AH550" i="7"/>
  <c r="AK549" i="7"/>
  <c r="AJ549" i="7"/>
  <c r="AI549" i="7"/>
  <c r="AH549" i="7"/>
  <c r="AK548" i="7"/>
  <c r="AJ548" i="7"/>
  <c r="AI548" i="7"/>
  <c r="AH548" i="7"/>
  <c r="AK547" i="7"/>
  <c r="AJ547" i="7"/>
  <c r="AI547" i="7"/>
  <c r="AH547" i="7"/>
  <c r="AK546" i="7"/>
  <c r="AJ546" i="7"/>
  <c r="AI546" i="7"/>
  <c r="AH546" i="7"/>
  <c r="AK545" i="7"/>
  <c r="AJ545" i="7"/>
  <c r="AI545" i="7"/>
  <c r="AH545" i="7"/>
  <c r="AK544" i="7"/>
  <c r="AJ544" i="7"/>
  <c r="AI544" i="7"/>
  <c r="AH544" i="7"/>
  <c r="AK543" i="7"/>
  <c r="AJ543" i="7"/>
  <c r="AI543" i="7"/>
  <c r="AH543" i="7"/>
  <c r="AG542" i="7"/>
  <c r="U524" i="7" s="1"/>
  <c r="AF542" i="7"/>
  <c r="T524" i="7" s="1"/>
  <c r="AC542" i="7"/>
  <c r="Q524" i="7" s="1"/>
  <c r="AB542" i="7"/>
  <c r="P524" i="7" s="1"/>
  <c r="AK541" i="7"/>
  <c r="AE542" i="7"/>
  <c r="S524" i="7" s="1"/>
  <c r="AD542" i="7"/>
  <c r="R524" i="7" s="1"/>
  <c r="AK540" i="7"/>
  <c r="AJ540" i="7"/>
  <c r="AI540" i="7"/>
  <c r="AH540" i="7"/>
  <c r="AJ539" i="7"/>
  <c r="AH539" i="7"/>
  <c r="AG538" i="7"/>
  <c r="U523" i="7" s="1"/>
  <c r="AF538" i="7"/>
  <c r="T523" i="7" s="1"/>
  <c r="AE538" i="7"/>
  <c r="S523" i="7" s="1"/>
  <c r="AD538" i="7"/>
  <c r="R523" i="7" s="1"/>
  <c r="AB538" i="7"/>
  <c r="P523" i="7" s="1"/>
  <c r="AK537" i="7"/>
  <c r="AJ537" i="7"/>
  <c r="AI537" i="7"/>
  <c r="AH537" i="7"/>
  <c r="AK536" i="7"/>
  <c r="AJ536" i="7"/>
  <c r="AC536" i="7"/>
  <c r="AI536" i="7" s="1"/>
  <c r="AF535" i="7"/>
  <c r="T520" i="7" s="1"/>
  <c r="AE535" i="7"/>
  <c r="S520" i="7" s="1"/>
  <c r="AD535" i="7"/>
  <c r="R520" i="7" s="1"/>
  <c r="AB535" i="7"/>
  <c r="AJ534" i="7"/>
  <c r="AH534" i="7"/>
  <c r="AG535" i="7"/>
  <c r="U520" i="7" s="1"/>
  <c r="AK533" i="7"/>
  <c r="AJ533" i="7"/>
  <c r="AI533" i="7"/>
  <c r="AH533" i="7"/>
  <c r="AK532" i="7"/>
  <c r="AJ532" i="7"/>
  <c r="AI532" i="7"/>
  <c r="AH532" i="7"/>
  <c r="AK531" i="7"/>
  <c r="AJ531" i="7"/>
  <c r="AG499" i="7"/>
  <c r="AF499" i="7"/>
  <c r="AE499" i="7"/>
  <c r="AD499" i="7"/>
  <c r="AJ499" i="7" s="1"/>
  <c r="AC499" i="7"/>
  <c r="AB499" i="7"/>
  <c r="AK498" i="7"/>
  <c r="AJ498" i="7"/>
  <c r="AI498" i="7"/>
  <c r="AH498" i="7"/>
  <c r="AK497" i="7"/>
  <c r="AJ497" i="7"/>
  <c r="AI497" i="7"/>
  <c r="AH497" i="7"/>
  <c r="AG496" i="7"/>
  <c r="U461" i="7" s="1"/>
  <c r="AF496" i="7"/>
  <c r="T461" i="7" s="1"/>
  <c r="AE496" i="7"/>
  <c r="AD496" i="7"/>
  <c r="AC496" i="7"/>
  <c r="Q461" i="7" s="1"/>
  <c r="AB496" i="7"/>
  <c r="P461" i="7" s="1"/>
  <c r="AK495" i="7"/>
  <c r="AJ495" i="7"/>
  <c r="AI495" i="7"/>
  <c r="AH495" i="7"/>
  <c r="AK494" i="7"/>
  <c r="AJ494" i="7"/>
  <c r="AI494" i="7"/>
  <c r="AH494" i="7"/>
  <c r="AK493" i="7"/>
  <c r="AJ493" i="7"/>
  <c r="AI493" i="7"/>
  <c r="AH493" i="7"/>
  <c r="AK492" i="7"/>
  <c r="AJ492" i="7"/>
  <c r="AI492" i="7"/>
  <c r="AH492" i="7"/>
  <c r="AK491" i="7"/>
  <c r="AJ491" i="7"/>
  <c r="AI491" i="7"/>
  <c r="AH491" i="7"/>
  <c r="AK490" i="7"/>
  <c r="AJ490" i="7"/>
  <c r="AI490" i="7"/>
  <c r="AH490" i="7"/>
  <c r="AK489" i="7"/>
  <c r="AJ489" i="7"/>
  <c r="AI489" i="7"/>
  <c r="AH489" i="7"/>
  <c r="AK488" i="7"/>
  <c r="AJ488" i="7"/>
  <c r="AI488" i="7"/>
  <c r="AH488" i="7"/>
  <c r="AG487" i="7"/>
  <c r="U469" i="7" s="1"/>
  <c r="AF487" i="7"/>
  <c r="T469" i="7" s="1"/>
  <c r="AE487" i="7"/>
  <c r="AD487" i="7"/>
  <c r="AC487" i="7"/>
  <c r="Q469" i="7" s="1"/>
  <c r="AB487" i="7"/>
  <c r="AK486" i="7"/>
  <c r="AJ486" i="7"/>
  <c r="AH486" i="7"/>
  <c r="AI486" i="7"/>
  <c r="AK485" i="7"/>
  <c r="AJ485" i="7"/>
  <c r="AI485" i="7"/>
  <c r="AH485" i="7"/>
  <c r="AJ484" i="7"/>
  <c r="AH484" i="7"/>
  <c r="AG483" i="7"/>
  <c r="U468" i="7" s="1"/>
  <c r="AF483" i="7"/>
  <c r="T468" i="7" s="1"/>
  <c r="AE483" i="7"/>
  <c r="AD483" i="7"/>
  <c r="AB483" i="7"/>
  <c r="P468" i="7" s="1"/>
  <c r="AK482" i="7"/>
  <c r="AJ482" i="7"/>
  <c r="AI482" i="7"/>
  <c r="AH482" i="7"/>
  <c r="AK481" i="7"/>
  <c r="AJ481" i="7"/>
  <c r="AC481" i="7"/>
  <c r="AI481" i="7" s="1"/>
  <c r="AF480" i="7"/>
  <c r="T465" i="7" s="1"/>
  <c r="AD480" i="7"/>
  <c r="R465" i="7" s="1"/>
  <c r="AC480" i="7"/>
  <c r="Q465" i="7" s="1"/>
  <c r="AB480" i="7"/>
  <c r="P465" i="7" s="1"/>
  <c r="AH479" i="7"/>
  <c r="AG480" i="7"/>
  <c r="U465" i="7" s="1"/>
  <c r="AJ479" i="7"/>
  <c r="AK478" i="7"/>
  <c r="AJ478" i="7"/>
  <c r="AI478" i="7"/>
  <c r="AH478" i="7"/>
  <c r="AK477" i="7"/>
  <c r="AJ477" i="7"/>
  <c r="AI477" i="7"/>
  <c r="AH477" i="7"/>
  <c r="AK476" i="7"/>
  <c r="AJ476" i="7"/>
  <c r="AI476" i="7"/>
  <c r="AH476" i="7"/>
  <c r="AR372" i="7"/>
  <c r="AQ372" i="7"/>
  <c r="AQ355" i="7"/>
  <c r="AQ356" i="7"/>
  <c r="AQ357" i="7"/>
  <c r="AQ358" i="7"/>
  <c r="AQ359" i="7"/>
  <c r="AQ360" i="7"/>
  <c r="AQ361" i="7"/>
  <c r="AQ362" i="7"/>
  <c r="AQ363" i="7"/>
  <c r="AQ364" i="7"/>
  <c r="AQ366" i="7"/>
  <c r="AQ367" i="7"/>
  <c r="AQ368" i="7"/>
  <c r="AQ370" i="7"/>
  <c r="AQ354" i="7"/>
  <c r="AH356" i="7"/>
  <c r="AI356" i="7"/>
  <c r="AJ356" i="7"/>
  <c r="AK355" i="7"/>
  <c r="AJ355" i="7"/>
  <c r="AJ370" i="7"/>
  <c r="AJ368" i="7"/>
  <c r="AJ367" i="7"/>
  <c r="AJ366" i="7"/>
  <c r="AJ365" i="7"/>
  <c r="AJ364" i="7"/>
  <c r="AJ363" i="7"/>
  <c r="AJ362" i="7"/>
  <c r="AJ361" i="7"/>
  <c r="AJ360" i="7"/>
  <c r="AJ359" i="7"/>
  <c r="AJ358" i="7"/>
  <c r="AJ357" i="7"/>
  <c r="AJ354" i="7"/>
  <c r="AH355" i="7"/>
  <c r="AH354" i="7"/>
  <c r="AH370" i="7"/>
  <c r="AH368" i="7"/>
  <c r="AH367" i="7"/>
  <c r="AH366" i="7"/>
  <c r="AH364" i="7"/>
  <c r="AH363" i="7"/>
  <c r="AH362" i="7"/>
  <c r="AH361" i="7"/>
  <c r="AH360" i="7"/>
  <c r="AH359" i="7"/>
  <c r="AH358" i="7"/>
  <c r="AH357" i="7"/>
  <c r="AF369" i="7"/>
  <c r="T360" i="7" s="1"/>
  <c r="AD369" i="7"/>
  <c r="R360" i="7" s="1"/>
  <c r="AG395" i="7"/>
  <c r="AF395" i="7"/>
  <c r="AE395" i="7"/>
  <c r="AD395" i="7"/>
  <c r="AC395" i="7"/>
  <c r="AB395" i="7"/>
  <c r="AK394" i="7"/>
  <c r="AJ394" i="7"/>
  <c r="AI394" i="7"/>
  <c r="AH394" i="7"/>
  <c r="AK393" i="7"/>
  <c r="AJ393" i="7"/>
  <c r="AI393" i="7"/>
  <c r="AH393" i="7"/>
  <c r="AG392" i="7"/>
  <c r="U357" i="7" s="1"/>
  <c r="AF392" i="7"/>
  <c r="T357" i="7" s="1"/>
  <c r="AD392" i="7"/>
  <c r="AK391" i="7"/>
  <c r="AJ391" i="7"/>
  <c r="AI391" i="7"/>
  <c r="AH391" i="7"/>
  <c r="AK390" i="7"/>
  <c r="AJ390" i="7"/>
  <c r="AI390" i="7"/>
  <c r="AH390" i="7"/>
  <c r="AK389" i="7"/>
  <c r="AJ389" i="7"/>
  <c r="AC392" i="7"/>
  <c r="Q357" i="7" s="1"/>
  <c r="AB392" i="7"/>
  <c r="P357" i="7" s="1"/>
  <c r="AK388" i="7"/>
  <c r="AJ388" i="7"/>
  <c r="AI388" i="7"/>
  <c r="AH388" i="7"/>
  <c r="AK387" i="7"/>
  <c r="AJ387" i="7"/>
  <c r="AH387" i="7"/>
  <c r="AE392" i="7"/>
  <c r="AK386" i="7"/>
  <c r="AJ386" i="7"/>
  <c r="AI386" i="7"/>
  <c r="AH386" i="7"/>
  <c r="AK385" i="7"/>
  <c r="AJ385" i="7"/>
  <c r="AI385" i="7"/>
  <c r="AH385" i="7"/>
  <c r="AK384" i="7"/>
  <c r="AJ384" i="7"/>
  <c r="AI384" i="7"/>
  <c r="AH384" i="7"/>
  <c r="AG383" i="7"/>
  <c r="U365" i="7" s="1"/>
  <c r="AE383" i="7"/>
  <c r="AD383" i="7"/>
  <c r="R365" i="7" s="1"/>
  <c r="AB383" i="7"/>
  <c r="P365" i="7" s="1"/>
  <c r="AK382" i="7"/>
  <c r="AJ382" i="7"/>
  <c r="AK381" i="7"/>
  <c r="AH381" i="7"/>
  <c r="AQ381" i="7"/>
  <c r="AJ380" i="7"/>
  <c r="AH380" i="7"/>
  <c r="AE379" i="7"/>
  <c r="S364" i="7" s="1"/>
  <c r="AD379" i="7"/>
  <c r="R364" i="7" s="1"/>
  <c r="AB379" i="7"/>
  <c r="P364" i="7" s="1"/>
  <c r="AK378" i="7"/>
  <c r="AJ378" i="7"/>
  <c r="AI378" i="7"/>
  <c r="AH378" i="7"/>
  <c r="AK377" i="7"/>
  <c r="AQ377" i="7"/>
  <c r="AC377" i="7"/>
  <c r="AC379" i="7" s="1"/>
  <c r="Q364" i="7" s="1"/>
  <c r="AE376" i="7"/>
  <c r="AD376" i="7"/>
  <c r="R361" i="7" s="1"/>
  <c r="AC376" i="7"/>
  <c r="AB376" i="7"/>
  <c r="AH375" i="7"/>
  <c r="AG375" i="7"/>
  <c r="AR375" i="7" s="1"/>
  <c r="AF375" i="7"/>
  <c r="AF376" i="7" s="1"/>
  <c r="AK374" i="7"/>
  <c r="AJ374" i="7"/>
  <c r="AI374" i="7"/>
  <c r="AH374" i="7"/>
  <c r="AK373" i="7"/>
  <c r="AJ373" i="7"/>
  <c r="AI373" i="7"/>
  <c r="AH373" i="7"/>
  <c r="AK372" i="7"/>
  <c r="AJ372" i="7"/>
  <c r="AH372" i="7"/>
  <c r="AI372" i="7"/>
  <c r="AR394" i="7"/>
  <c r="AQ394" i="7"/>
  <c r="AR393" i="7"/>
  <c r="AQ393" i="7"/>
  <c r="AR391" i="7"/>
  <c r="AQ391" i="7"/>
  <c r="AR390" i="7"/>
  <c r="AQ390" i="7"/>
  <c r="AR389" i="7"/>
  <c r="AQ389" i="7"/>
  <c r="AN389" i="7"/>
  <c r="AR388" i="7"/>
  <c r="AQ388" i="7"/>
  <c r="AO388" i="7"/>
  <c r="AN388" i="7"/>
  <c r="AR387" i="7"/>
  <c r="AQ387" i="7"/>
  <c r="AO387" i="7"/>
  <c r="AN387" i="7"/>
  <c r="AR386" i="7"/>
  <c r="AQ386" i="7"/>
  <c r="AO386" i="7"/>
  <c r="AN386" i="7"/>
  <c r="AR385" i="7"/>
  <c r="AQ385" i="7"/>
  <c r="AN385" i="7"/>
  <c r="AR384" i="7"/>
  <c r="AQ384" i="7"/>
  <c r="AN383" i="7"/>
  <c r="AR382" i="7"/>
  <c r="AQ382" i="7"/>
  <c r="AN382" i="7"/>
  <c r="AN381" i="7"/>
  <c r="AR380" i="7"/>
  <c r="AQ380" i="7"/>
  <c r="AN380" i="7"/>
  <c r="AN379" i="7"/>
  <c r="AR378" i="7"/>
  <c r="AQ378" i="7"/>
  <c r="AN378" i="7"/>
  <c r="AN377" i="7"/>
  <c r="AN376" i="7"/>
  <c r="AN375" i="7"/>
  <c r="AR374" i="7"/>
  <c r="AQ374" i="7"/>
  <c r="AN374" i="7"/>
  <c r="AR373" i="7"/>
  <c r="AQ373" i="7"/>
  <c r="AN373" i="7"/>
  <c r="AN372" i="7"/>
  <c r="AR371" i="7"/>
  <c r="AQ371" i="7"/>
  <c r="AN371" i="7"/>
  <c r="AN370" i="7"/>
  <c r="AN369" i="7"/>
  <c r="AN368" i="7"/>
  <c r="AN367" i="7"/>
  <c r="AN366" i="7"/>
  <c r="AN363" i="7"/>
  <c r="AN362" i="7"/>
  <c r="AN359" i="7"/>
  <c r="AN358" i="7"/>
  <c r="AN356" i="7"/>
  <c r="AN355" i="7"/>
  <c r="AJ554" i="7" l="1"/>
  <c r="AN626" i="7"/>
  <c r="AN637" i="7"/>
  <c r="AH365" i="7"/>
  <c r="AB369" i="7"/>
  <c r="AH554" i="7"/>
  <c r="AI446" i="7"/>
  <c r="AR554" i="7"/>
  <c r="AJ430" i="7"/>
  <c r="AR377" i="7"/>
  <c r="AK499" i="7"/>
  <c r="AI608" i="7"/>
  <c r="AK395" i="7"/>
  <c r="AJ446" i="7"/>
  <c r="AJ608" i="7"/>
  <c r="AH535" i="7"/>
  <c r="AI664" i="7"/>
  <c r="AQ395" i="7"/>
  <c r="AI499" i="7"/>
  <c r="AK554" i="7"/>
  <c r="AI430" i="7"/>
  <c r="AQ644" i="7"/>
  <c r="AH421" i="7"/>
  <c r="AQ392" i="7"/>
  <c r="AJ595" i="7"/>
  <c r="AJ395" i="7"/>
  <c r="AK595" i="7"/>
  <c r="AF589" i="7"/>
  <c r="T574" i="7" s="1"/>
  <c r="AQ487" i="7"/>
  <c r="AJ426" i="7"/>
  <c r="AK446" i="7"/>
  <c r="AD596" i="7"/>
  <c r="AQ596" i="7" s="1"/>
  <c r="AR426" i="7"/>
  <c r="AN415" i="7"/>
  <c r="AH608" i="7"/>
  <c r="AF645" i="7"/>
  <c r="T630" i="7" s="1"/>
  <c r="AH499" i="7"/>
  <c r="AK664" i="7"/>
  <c r="AQ664" i="7"/>
  <c r="AJ664" i="7"/>
  <c r="AR661" i="7"/>
  <c r="AN570" i="7"/>
  <c r="AJ582" i="7"/>
  <c r="R573" i="7"/>
  <c r="AN573" i="7" s="1"/>
  <c r="AI554" i="7"/>
  <c r="AN633" i="7"/>
  <c r="AQ426" i="7"/>
  <c r="AQ588" i="7"/>
  <c r="AR487" i="7"/>
  <c r="AR434" i="7"/>
  <c r="AG376" i="7"/>
  <c r="U361" i="7" s="1"/>
  <c r="AK430" i="7"/>
  <c r="AG645" i="7"/>
  <c r="U630" i="7" s="1"/>
  <c r="AR536" i="7"/>
  <c r="AQ499" i="7"/>
  <c r="AR392" i="7"/>
  <c r="AN523" i="7"/>
  <c r="AH551" i="7"/>
  <c r="AK608" i="7"/>
  <c r="AR481" i="7"/>
  <c r="AR499" i="7"/>
  <c r="AN465" i="7"/>
  <c r="AJ487" i="7"/>
  <c r="R469" i="7"/>
  <c r="X469" i="7" s="1"/>
  <c r="AI551" i="7"/>
  <c r="AQ652" i="7"/>
  <c r="AQ595" i="7"/>
  <c r="AQ648" i="7"/>
  <c r="AK487" i="7"/>
  <c r="S469" i="7"/>
  <c r="AH538" i="7"/>
  <c r="AN524" i="7"/>
  <c r="AH446" i="7"/>
  <c r="R574" i="7"/>
  <c r="AR595" i="7"/>
  <c r="AQ554" i="7"/>
  <c r="Q415" i="7"/>
  <c r="P516" i="7"/>
  <c r="V516" i="7" s="1"/>
  <c r="AR588" i="7"/>
  <c r="AJ376" i="7"/>
  <c r="T361" i="7"/>
  <c r="AI377" i="7"/>
  <c r="AI381" i="7"/>
  <c r="AK443" i="7"/>
  <c r="S408" i="7"/>
  <c r="AK589" i="7"/>
  <c r="S574" i="7"/>
  <c r="AJ592" i="7"/>
  <c r="R577" i="7"/>
  <c r="AN577" i="7" s="1"/>
  <c r="AH664" i="7"/>
  <c r="AR664" i="7"/>
  <c r="AQ608" i="7"/>
  <c r="Q516" i="7"/>
  <c r="AR395" i="7"/>
  <c r="AK592" i="7"/>
  <c r="S577" i="7"/>
  <c r="AR608" i="7"/>
  <c r="S361" i="7"/>
  <c r="AR381" i="7"/>
  <c r="AH430" i="7"/>
  <c r="P578" i="7"/>
  <c r="Q419" i="7"/>
  <c r="AJ375" i="7"/>
  <c r="Q578" i="7"/>
  <c r="AH645" i="7"/>
  <c r="P630" i="7"/>
  <c r="AH376" i="7"/>
  <c r="AN411" i="7"/>
  <c r="AQ430" i="7"/>
  <c r="P469" i="7"/>
  <c r="AI376" i="7"/>
  <c r="AI395" i="7"/>
  <c r="AC483" i="7"/>
  <c r="Q468" i="7" s="1"/>
  <c r="AE596" i="7"/>
  <c r="AI596" i="7" s="1"/>
  <c r="AR430" i="7"/>
  <c r="AK551" i="7"/>
  <c r="AJ551" i="7"/>
  <c r="AQ528" i="7"/>
  <c r="AR542" i="7"/>
  <c r="AQ542" i="7"/>
  <c r="AK538" i="7"/>
  <c r="AQ538" i="7"/>
  <c r="AJ538" i="7"/>
  <c r="AI645" i="7"/>
  <c r="R630" i="7"/>
  <c r="AR652" i="7"/>
  <c r="AK652" i="7"/>
  <c r="S634" i="7"/>
  <c r="AJ652" i="7"/>
  <c r="R634" i="7"/>
  <c r="AN634" i="7" s="1"/>
  <c r="AR648" i="7"/>
  <c r="AK648" i="7"/>
  <c r="AI648" i="7"/>
  <c r="AJ648" i="7"/>
  <c r="AH648" i="7"/>
  <c r="AJ638" i="7"/>
  <c r="R629" i="7"/>
  <c r="AN629" i="7" s="1"/>
  <c r="AK661" i="7"/>
  <c r="S626" i="7"/>
  <c r="AQ661" i="7"/>
  <c r="AJ661" i="7"/>
  <c r="AH661" i="7"/>
  <c r="AR605" i="7"/>
  <c r="AK605" i="7"/>
  <c r="AI605" i="7"/>
  <c r="AJ605" i="7"/>
  <c r="AH605" i="7"/>
  <c r="AQ605" i="7"/>
  <c r="AR589" i="7"/>
  <c r="AI592" i="7"/>
  <c r="AH592" i="7"/>
  <c r="AQ582" i="7"/>
  <c r="AJ528" i="7"/>
  <c r="R519" i="7"/>
  <c r="AN519" i="7" s="1"/>
  <c r="AH528" i="7"/>
  <c r="AH480" i="7"/>
  <c r="AQ480" i="7"/>
  <c r="AJ473" i="7"/>
  <c r="R464" i="7"/>
  <c r="AN464" i="7" s="1"/>
  <c r="AI496" i="7"/>
  <c r="AK496" i="7"/>
  <c r="S461" i="7"/>
  <c r="AO461" i="7" s="1"/>
  <c r="AR496" i="7"/>
  <c r="AJ496" i="7"/>
  <c r="R461" i="7"/>
  <c r="AN461" i="7" s="1"/>
  <c r="AQ496" i="7"/>
  <c r="AK483" i="7"/>
  <c r="S468" i="7"/>
  <c r="AJ483" i="7"/>
  <c r="R468" i="7"/>
  <c r="AN468" i="7" s="1"/>
  <c r="AQ483" i="7"/>
  <c r="AH483" i="7"/>
  <c r="AH473" i="7"/>
  <c r="AK427" i="7"/>
  <c r="S412" i="7"/>
  <c r="AR427" i="7"/>
  <c r="AI427" i="7"/>
  <c r="AH427" i="7"/>
  <c r="AQ427" i="7"/>
  <c r="AI434" i="7"/>
  <c r="AK434" i="7"/>
  <c r="S416" i="7"/>
  <c r="AH434" i="7"/>
  <c r="AJ434" i="7"/>
  <c r="R416" i="7"/>
  <c r="AN416" i="7" s="1"/>
  <c r="AQ434" i="7"/>
  <c r="AJ420" i="7"/>
  <c r="AQ420" i="7"/>
  <c r="AI443" i="7"/>
  <c r="AR443" i="7"/>
  <c r="AJ443" i="7"/>
  <c r="AH443" i="7"/>
  <c r="AQ443" i="7"/>
  <c r="AR383" i="7"/>
  <c r="AK383" i="7"/>
  <c r="S365" i="7"/>
  <c r="AH369" i="7"/>
  <c r="AJ369" i="7"/>
  <c r="AK392" i="7"/>
  <c r="S357" i="7"/>
  <c r="AJ392" i="7"/>
  <c r="R357" i="7"/>
  <c r="AN357" i="7" s="1"/>
  <c r="AR531" i="7"/>
  <c r="AH531" i="7"/>
  <c r="AI535" i="7"/>
  <c r="AR535" i="7"/>
  <c r="AI531" i="7"/>
  <c r="AQ535" i="7"/>
  <c r="AH638" i="7"/>
  <c r="AQ638" i="7"/>
  <c r="AH652" i="7"/>
  <c r="AI589" i="7"/>
  <c r="AH582" i="7"/>
  <c r="AR592" i="7"/>
  <c r="AQ592" i="7"/>
  <c r="Q520" i="7"/>
  <c r="P520" i="7"/>
  <c r="AN520" i="7" s="1"/>
  <c r="AR551" i="7"/>
  <c r="AQ551" i="7"/>
  <c r="AH464" i="7"/>
  <c r="AQ473" i="7"/>
  <c r="AR446" i="7"/>
  <c r="P419" i="7"/>
  <c r="AN419" i="7" s="1"/>
  <c r="AQ446" i="7"/>
  <c r="AN408" i="7"/>
  <c r="AH420" i="7"/>
  <c r="Q361" i="7"/>
  <c r="AQ376" i="7"/>
  <c r="P361" i="7"/>
  <c r="AQ369" i="7"/>
  <c r="P360" i="7"/>
  <c r="AN360" i="7" s="1"/>
  <c r="Q365" i="7"/>
  <c r="AJ480" i="7"/>
  <c r="AI652" i="7"/>
  <c r="AI661" i="7"/>
  <c r="AH589" i="7"/>
  <c r="AJ427" i="7"/>
  <c r="AI487" i="7"/>
  <c r="AH487" i="7"/>
  <c r="AK535" i="7"/>
  <c r="AJ535" i="7"/>
  <c r="AH542" i="7"/>
  <c r="AJ542" i="7"/>
  <c r="AK542" i="7"/>
  <c r="AI542" i="7"/>
  <c r="AH541" i="7"/>
  <c r="AI541" i="7"/>
  <c r="AJ541" i="7"/>
  <c r="AC538" i="7"/>
  <c r="AR538" i="7" s="1"/>
  <c r="AH496" i="7"/>
  <c r="AH392" i="7"/>
  <c r="AI392" i="7"/>
  <c r="AI379" i="7"/>
  <c r="AJ381" i="7"/>
  <c r="AQ375" i="7"/>
  <c r="AG379" i="7"/>
  <c r="U364" i="7" s="1"/>
  <c r="AJ377" i="7"/>
  <c r="AH379" i="7"/>
  <c r="AH383" i="7"/>
  <c r="AI383" i="7"/>
  <c r="AH382" i="7"/>
  <c r="AF383" i="7"/>
  <c r="T365" i="7" s="1"/>
  <c r="AN365" i="7" s="1"/>
  <c r="AI382" i="7"/>
  <c r="AH389" i="7"/>
  <c r="AH395" i="7"/>
  <c r="AF379" i="7"/>
  <c r="T364" i="7" s="1"/>
  <c r="AN364" i="7" s="1"/>
  <c r="AI389" i="7"/>
  <c r="AI387" i="7"/>
  <c r="X623" i="7"/>
  <c r="X658" i="7"/>
  <c r="X657" i="7"/>
  <c r="X656" i="7"/>
  <c r="X655" i="7"/>
  <c r="X654" i="7"/>
  <c r="X652" i="7"/>
  <c r="X651" i="7"/>
  <c r="X650" i="7"/>
  <c r="X649" i="7"/>
  <c r="X648" i="7"/>
  <c r="X647" i="7"/>
  <c r="X646" i="7"/>
  <c r="X645" i="7"/>
  <c r="X644" i="7"/>
  <c r="X643" i="7"/>
  <c r="X642" i="7"/>
  <c r="X641" i="7"/>
  <c r="X640" i="7"/>
  <c r="X639" i="7"/>
  <c r="X638" i="7"/>
  <c r="X637" i="7"/>
  <c r="X636" i="7"/>
  <c r="X635" i="7"/>
  <c r="X633" i="7"/>
  <c r="X632" i="7"/>
  <c r="X631" i="7"/>
  <c r="X628" i="7"/>
  <c r="X627" i="7"/>
  <c r="X626" i="7"/>
  <c r="X625" i="7"/>
  <c r="X624" i="7"/>
  <c r="X602" i="7"/>
  <c r="X601" i="7"/>
  <c r="X600" i="7"/>
  <c r="X599" i="7"/>
  <c r="X598" i="7"/>
  <c r="X596" i="7"/>
  <c r="X595" i="7"/>
  <c r="X594" i="7"/>
  <c r="X593" i="7"/>
  <c r="X592" i="7"/>
  <c r="X591" i="7"/>
  <c r="X590" i="7"/>
  <c r="X589" i="7"/>
  <c r="X588" i="7"/>
  <c r="X587" i="7"/>
  <c r="X586" i="7"/>
  <c r="X585" i="7"/>
  <c r="X584" i="7"/>
  <c r="X583" i="7"/>
  <c r="X582" i="7"/>
  <c r="X581" i="7"/>
  <c r="X580" i="7"/>
  <c r="X579" i="7"/>
  <c r="X576" i="7"/>
  <c r="X575" i="7"/>
  <c r="X572" i="7"/>
  <c r="X571" i="7"/>
  <c r="X570" i="7"/>
  <c r="X569" i="7"/>
  <c r="X568" i="7"/>
  <c r="X567" i="7"/>
  <c r="X548" i="7"/>
  <c r="X547" i="7"/>
  <c r="X546" i="7"/>
  <c r="X545" i="7"/>
  <c r="X544" i="7"/>
  <c r="X542" i="7"/>
  <c r="X541" i="7"/>
  <c r="X540" i="7"/>
  <c r="X539" i="7"/>
  <c r="X538" i="7"/>
  <c r="X537" i="7"/>
  <c r="X536" i="7"/>
  <c r="X535" i="7"/>
  <c r="X534" i="7"/>
  <c r="X533" i="7"/>
  <c r="X532" i="7"/>
  <c r="X531" i="7"/>
  <c r="X530" i="7"/>
  <c r="X529" i="7"/>
  <c r="X528" i="7"/>
  <c r="X527" i="7"/>
  <c r="X526" i="7"/>
  <c r="X525" i="7"/>
  <c r="X524" i="7"/>
  <c r="X523" i="7"/>
  <c r="X522" i="7"/>
  <c r="X521" i="7"/>
  <c r="X520" i="7"/>
  <c r="X518" i="7"/>
  <c r="X517" i="7"/>
  <c r="X516" i="7"/>
  <c r="X515" i="7"/>
  <c r="X514" i="7"/>
  <c r="X513" i="7"/>
  <c r="X493" i="7"/>
  <c r="X492" i="7"/>
  <c r="X491" i="7"/>
  <c r="X490" i="7"/>
  <c r="X489" i="7"/>
  <c r="X487" i="7"/>
  <c r="X486" i="7"/>
  <c r="X485" i="7"/>
  <c r="X484" i="7"/>
  <c r="X483" i="7"/>
  <c r="X482" i="7"/>
  <c r="X481" i="7"/>
  <c r="X480" i="7"/>
  <c r="X479" i="7"/>
  <c r="X478" i="7"/>
  <c r="X477" i="7"/>
  <c r="X476" i="7"/>
  <c r="X475" i="7"/>
  <c r="X474" i="7"/>
  <c r="X473" i="7"/>
  <c r="X472" i="7"/>
  <c r="X471" i="7"/>
  <c r="X470" i="7"/>
  <c r="X467" i="7"/>
  <c r="X466" i="7"/>
  <c r="X465" i="7"/>
  <c r="X464" i="7"/>
  <c r="X463" i="7"/>
  <c r="X462" i="7"/>
  <c r="X460" i="7"/>
  <c r="X459" i="7"/>
  <c r="X458" i="7"/>
  <c r="X440" i="7"/>
  <c r="X439" i="7"/>
  <c r="X438" i="7"/>
  <c r="X437" i="7"/>
  <c r="X436" i="7"/>
  <c r="X434" i="7"/>
  <c r="X433" i="7"/>
  <c r="X432" i="7"/>
  <c r="X431" i="7"/>
  <c r="X430" i="7"/>
  <c r="X429" i="7"/>
  <c r="X428" i="7"/>
  <c r="X427" i="7"/>
  <c r="X426" i="7"/>
  <c r="X425" i="7"/>
  <c r="X424" i="7"/>
  <c r="X423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V458" i="7"/>
  <c r="V513" i="7"/>
  <c r="V568" i="7"/>
  <c r="V623" i="7"/>
  <c r="V658" i="7"/>
  <c r="V657" i="7"/>
  <c r="V656" i="7"/>
  <c r="V655" i="7"/>
  <c r="V654" i="7"/>
  <c r="V652" i="7"/>
  <c r="V651" i="7"/>
  <c r="V650" i="7"/>
  <c r="V649" i="7"/>
  <c r="V648" i="7"/>
  <c r="V647" i="7"/>
  <c r="V646" i="7"/>
  <c r="V645" i="7"/>
  <c r="V644" i="7"/>
  <c r="V643" i="7"/>
  <c r="V642" i="7"/>
  <c r="V641" i="7"/>
  <c r="V640" i="7"/>
  <c r="V639" i="7"/>
  <c r="V638" i="7"/>
  <c r="V637" i="7"/>
  <c r="V636" i="7"/>
  <c r="V635" i="7"/>
  <c r="V633" i="7"/>
  <c r="V632" i="7"/>
  <c r="V631" i="7"/>
  <c r="V629" i="7"/>
  <c r="V628" i="7"/>
  <c r="V627" i="7"/>
  <c r="V626" i="7"/>
  <c r="V625" i="7"/>
  <c r="V624" i="7"/>
  <c r="V602" i="7"/>
  <c r="V601" i="7"/>
  <c r="V600" i="7"/>
  <c r="V599" i="7"/>
  <c r="V598" i="7"/>
  <c r="V596" i="7"/>
  <c r="V595" i="7"/>
  <c r="V594" i="7"/>
  <c r="V593" i="7"/>
  <c r="V592" i="7"/>
  <c r="V591" i="7"/>
  <c r="V590" i="7"/>
  <c r="V589" i="7"/>
  <c r="V588" i="7"/>
  <c r="V587" i="7"/>
  <c r="V586" i="7"/>
  <c r="V585" i="7"/>
  <c r="V584" i="7"/>
  <c r="V583" i="7"/>
  <c r="V582" i="7"/>
  <c r="V581" i="7"/>
  <c r="V580" i="7"/>
  <c r="V579" i="7"/>
  <c r="V576" i="7"/>
  <c r="V575" i="7"/>
  <c r="V573" i="7"/>
  <c r="V572" i="7"/>
  <c r="V571" i="7"/>
  <c r="V570" i="7"/>
  <c r="V569" i="7"/>
  <c r="V567" i="7"/>
  <c r="V548" i="7"/>
  <c r="V547" i="7"/>
  <c r="V546" i="7"/>
  <c r="V545" i="7"/>
  <c r="V544" i="7"/>
  <c r="V542" i="7"/>
  <c r="V541" i="7"/>
  <c r="V540" i="7"/>
  <c r="V539" i="7"/>
  <c r="V538" i="7"/>
  <c r="V537" i="7"/>
  <c r="V536" i="7"/>
  <c r="V535" i="7"/>
  <c r="V534" i="7"/>
  <c r="V533" i="7"/>
  <c r="V532" i="7"/>
  <c r="V531" i="7"/>
  <c r="V530" i="7"/>
  <c r="V529" i="7"/>
  <c r="V528" i="7"/>
  <c r="V527" i="7"/>
  <c r="V526" i="7"/>
  <c r="V525" i="7"/>
  <c r="V524" i="7"/>
  <c r="V523" i="7"/>
  <c r="V522" i="7"/>
  <c r="V521" i="7"/>
  <c r="V518" i="7"/>
  <c r="V517" i="7"/>
  <c r="V515" i="7"/>
  <c r="V514" i="7"/>
  <c r="V493" i="7"/>
  <c r="V492" i="7"/>
  <c r="V491" i="7"/>
  <c r="V490" i="7"/>
  <c r="V489" i="7"/>
  <c r="V487" i="7"/>
  <c r="V486" i="7"/>
  <c r="V485" i="7"/>
  <c r="V484" i="7"/>
  <c r="V483" i="7"/>
  <c r="V482" i="7"/>
  <c r="V481" i="7"/>
  <c r="V480" i="7"/>
  <c r="V478" i="7"/>
  <c r="V477" i="7"/>
  <c r="V476" i="7"/>
  <c r="V475" i="7"/>
  <c r="V474" i="7"/>
  <c r="V473" i="7"/>
  <c r="V472" i="7"/>
  <c r="V471" i="7"/>
  <c r="V470" i="7"/>
  <c r="V467" i="7"/>
  <c r="V466" i="7"/>
  <c r="V465" i="7"/>
  <c r="V464" i="7"/>
  <c r="V463" i="7"/>
  <c r="V462" i="7"/>
  <c r="V460" i="7"/>
  <c r="V459" i="7"/>
  <c r="V440" i="7"/>
  <c r="V439" i="7"/>
  <c r="V438" i="7"/>
  <c r="V437" i="7"/>
  <c r="V436" i="7"/>
  <c r="V434" i="7"/>
  <c r="V433" i="7"/>
  <c r="V432" i="7"/>
  <c r="V431" i="7"/>
  <c r="V430" i="7"/>
  <c r="V429" i="7"/>
  <c r="V428" i="7"/>
  <c r="V427" i="7"/>
  <c r="V426" i="7"/>
  <c r="V425" i="7"/>
  <c r="V424" i="7"/>
  <c r="V423" i="7"/>
  <c r="V422" i="7"/>
  <c r="V421" i="7"/>
  <c r="V420" i="7"/>
  <c r="V418" i="7"/>
  <c r="V417" i="7"/>
  <c r="V416" i="7"/>
  <c r="V415" i="7"/>
  <c r="V414" i="7"/>
  <c r="V413" i="7"/>
  <c r="V412" i="7"/>
  <c r="V411" i="7"/>
  <c r="V410" i="7"/>
  <c r="V409" i="7"/>
  <c r="V408" i="7"/>
  <c r="V407" i="7"/>
  <c r="V406" i="7"/>
  <c r="T653" i="7"/>
  <c r="T597" i="7"/>
  <c r="T543" i="7"/>
  <c r="T488" i="7"/>
  <c r="T435" i="7"/>
  <c r="R653" i="7"/>
  <c r="R597" i="7"/>
  <c r="R543" i="7"/>
  <c r="R488" i="7"/>
  <c r="R435" i="7"/>
  <c r="P653" i="7"/>
  <c r="P597" i="7"/>
  <c r="P543" i="7"/>
  <c r="P488" i="7"/>
  <c r="P435" i="7"/>
  <c r="V354" i="7"/>
  <c r="X354" i="7"/>
  <c r="X389" i="7"/>
  <c r="X388" i="7"/>
  <c r="X387" i="7"/>
  <c r="X386" i="7"/>
  <c r="X385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9" i="7"/>
  <c r="X368" i="7"/>
  <c r="X367" i="7"/>
  <c r="X366" i="7"/>
  <c r="X363" i="7"/>
  <c r="X362" i="7"/>
  <c r="X361" i="7"/>
  <c r="X360" i="7"/>
  <c r="X359" i="7"/>
  <c r="X358" i="7"/>
  <c r="X356" i="7"/>
  <c r="X355" i="7"/>
  <c r="V389" i="7"/>
  <c r="V388" i="7"/>
  <c r="V387" i="7"/>
  <c r="V386" i="7"/>
  <c r="V385" i="7"/>
  <c r="V383" i="7"/>
  <c r="V382" i="7"/>
  <c r="V381" i="7"/>
  <c r="V380" i="7"/>
  <c r="V379" i="7"/>
  <c r="V378" i="7"/>
  <c r="V377" i="7"/>
  <c r="V376" i="7"/>
  <c r="V375" i="7"/>
  <c r="V374" i="7"/>
  <c r="V373" i="7"/>
  <c r="V372" i="7"/>
  <c r="V371" i="7"/>
  <c r="V370" i="7"/>
  <c r="V369" i="7"/>
  <c r="V368" i="7"/>
  <c r="V367" i="7"/>
  <c r="V366" i="7"/>
  <c r="V365" i="7"/>
  <c r="V364" i="7"/>
  <c r="V363" i="7"/>
  <c r="V362" i="7"/>
  <c r="V359" i="7"/>
  <c r="V358" i="7"/>
  <c r="V356" i="7"/>
  <c r="V355" i="7"/>
  <c r="T384" i="7"/>
  <c r="R384" i="7"/>
  <c r="P384" i="7"/>
  <c r="AA346" i="7"/>
  <c r="AO333" i="7"/>
  <c r="AO334" i="7"/>
  <c r="AR300" i="7"/>
  <c r="AQ300" i="7"/>
  <c r="AF308" i="7"/>
  <c r="AF315" i="7" s="1"/>
  <c r="T306" i="7" s="1"/>
  <c r="T305" i="7"/>
  <c r="T301" i="7"/>
  <c r="T322" i="7"/>
  <c r="X322" i="7" s="1"/>
  <c r="AG318" i="7"/>
  <c r="AK318" i="7" s="1"/>
  <c r="AF318" i="7"/>
  <c r="AJ318" i="7" s="1"/>
  <c r="T328" i="7"/>
  <c r="T331" i="7"/>
  <c r="T302" i="7"/>
  <c r="T314" i="7"/>
  <c r="T318" i="7"/>
  <c r="T319" i="7"/>
  <c r="T320" i="7"/>
  <c r="T335" i="7"/>
  <c r="AN335" i="7" s="1"/>
  <c r="T317" i="7"/>
  <c r="T332" i="7"/>
  <c r="X332" i="7" s="1"/>
  <c r="AG327" i="7"/>
  <c r="AG329" i="7" s="1"/>
  <c r="U311" i="7" s="1"/>
  <c r="AF327" i="7"/>
  <c r="AQ327" i="7" s="1"/>
  <c r="AG323" i="7"/>
  <c r="AK323" i="7" s="1"/>
  <c r="AF323" i="7"/>
  <c r="AQ323" i="7" s="1"/>
  <c r="AD325" i="7"/>
  <c r="R310" i="7" s="1"/>
  <c r="S319" i="7"/>
  <c r="R328" i="7"/>
  <c r="S320" i="7"/>
  <c r="R314" i="7"/>
  <c r="S314" i="7"/>
  <c r="R313" i="7"/>
  <c r="V313" i="7" s="1"/>
  <c r="AD316" i="7"/>
  <c r="AQ316" i="7" s="1"/>
  <c r="R309" i="7"/>
  <c r="V309" i="7" s="1"/>
  <c r="R301" i="7"/>
  <c r="R300" i="7"/>
  <c r="AD309" i="7"/>
  <c r="AQ309" i="7" s="1"/>
  <c r="AD306" i="7"/>
  <c r="AJ306" i="7" s="1"/>
  <c r="R305" i="7"/>
  <c r="V305" i="7" s="1"/>
  <c r="S305" i="7"/>
  <c r="R331" i="7"/>
  <c r="AD308" i="7"/>
  <c r="R302" i="7"/>
  <c r="R318" i="7"/>
  <c r="V318" i="7" s="1"/>
  <c r="AE328" i="7"/>
  <c r="AR328" i="7" s="1"/>
  <c r="AD328" i="7"/>
  <c r="AD329" i="7" s="1"/>
  <c r="AE333" i="7"/>
  <c r="AR333" i="7" s="1"/>
  <c r="AD333" i="7"/>
  <c r="AH333" i="7" s="1"/>
  <c r="P301" i="7"/>
  <c r="P300" i="7"/>
  <c r="V300" i="7" s="1"/>
  <c r="P317" i="7"/>
  <c r="AC318" i="7"/>
  <c r="AC322" i="7" s="1"/>
  <c r="AB318" i="7"/>
  <c r="P322" i="7"/>
  <c r="V322" i="7" s="1"/>
  <c r="P324" i="7"/>
  <c r="V324" i="7" s="1"/>
  <c r="P328" i="7"/>
  <c r="P319" i="7"/>
  <c r="P314" i="7"/>
  <c r="AC335" i="7"/>
  <c r="AR335" i="7" s="1"/>
  <c r="AB335" i="7"/>
  <c r="AB338" i="7" s="1"/>
  <c r="P303" i="7" s="1"/>
  <c r="AJ300" i="7"/>
  <c r="AI300" i="7"/>
  <c r="AR319" i="7"/>
  <c r="AR320" i="7"/>
  <c r="AR324" i="7"/>
  <c r="AR326" i="7"/>
  <c r="AR330" i="7"/>
  <c r="AR331" i="7"/>
  <c r="AR332" i="7"/>
  <c r="AR334" i="7"/>
  <c r="AR336" i="7"/>
  <c r="AR337" i="7"/>
  <c r="AR339" i="7"/>
  <c r="AR340" i="7"/>
  <c r="AQ319" i="7"/>
  <c r="AQ320" i="7"/>
  <c r="AQ324" i="7"/>
  <c r="AQ326" i="7"/>
  <c r="AQ330" i="7"/>
  <c r="AQ331" i="7"/>
  <c r="AQ332" i="7"/>
  <c r="AQ334" i="7"/>
  <c r="AQ336" i="7"/>
  <c r="AQ337" i="7"/>
  <c r="AQ339" i="7"/>
  <c r="AQ340" i="7"/>
  <c r="AR317" i="7"/>
  <c r="AQ317" i="7"/>
  <c r="AN304" i="7"/>
  <c r="AN308" i="7"/>
  <c r="AN312" i="7"/>
  <c r="AN315" i="7"/>
  <c r="AN316" i="7"/>
  <c r="AN321" i="7"/>
  <c r="AN323" i="7"/>
  <c r="AN325" i="7"/>
  <c r="AN326" i="7"/>
  <c r="AN327" i="7"/>
  <c r="AN329" i="7"/>
  <c r="AN333" i="7"/>
  <c r="AN334" i="7"/>
  <c r="AQ301" i="7"/>
  <c r="AQ302" i="7"/>
  <c r="AQ303" i="7"/>
  <c r="AQ304" i="7"/>
  <c r="AQ305" i="7"/>
  <c r="AQ307" i="7"/>
  <c r="AQ310" i="7"/>
  <c r="AQ311" i="7"/>
  <c r="AQ312" i="7"/>
  <c r="AQ313" i="7"/>
  <c r="AQ314" i="7"/>
  <c r="AG341" i="7"/>
  <c r="AF341" i="7"/>
  <c r="AE341" i="7"/>
  <c r="AD341" i="7"/>
  <c r="AC341" i="7"/>
  <c r="AB341" i="7"/>
  <c r="AK340" i="7"/>
  <c r="AJ340" i="7"/>
  <c r="AI340" i="7"/>
  <c r="AH340" i="7"/>
  <c r="AK339" i="7"/>
  <c r="AJ339" i="7"/>
  <c r="AI339" i="7"/>
  <c r="AH339" i="7"/>
  <c r="AG338" i="7"/>
  <c r="U303" i="7" s="1"/>
  <c r="AF338" i="7"/>
  <c r="T303" i="7" s="1"/>
  <c r="AK337" i="7"/>
  <c r="AJ337" i="7"/>
  <c r="AI337" i="7"/>
  <c r="AH337" i="7"/>
  <c r="AK336" i="7"/>
  <c r="AJ336" i="7"/>
  <c r="AI336" i="7"/>
  <c r="AH336" i="7"/>
  <c r="AK335" i="7"/>
  <c r="AJ335" i="7"/>
  <c r="AK334" i="7"/>
  <c r="AJ334" i="7"/>
  <c r="AI334" i="7"/>
  <c r="AH334" i="7"/>
  <c r="AK332" i="7"/>
  <c r="AJ332" i="7"/>
  <c r="AI332" i="7"/>
  <c r="AH332" i="7"/>
  <c r="AK331" i="7"/>
  <c r="AJ331" i="7"/>
  <c r="AI331" i="7"/>
  <c r="AH331" i="7"/>
  <c r="AK330" i="7"/>
  <c r="AJ330" i="7"/>
  <c r="AI330" i="7"/>
  <c r="AH330" i="7"/>
  <c r="AB329" i="7"/>
  <c r="P311" i="7" s="1"/>
  <c r="AH327" i="7"/>
  <c r="AC329" i="7"/>
  <c r="Q311" i="7" s="1"/>
  <c r="AJ326" i="7"/>
  <c r="AH326" i="7"/>
  <c r="AK324" i="7"/>
  <c r="AJ324" i="7"/>
  <c r="AI324" i="7"/>
  <c r="AH324" i="7"/>
  <c r="AC323" i="7"/>
  <c r="AI323" i="7" s="1"/>
  <c r="AB325" i="7"/>
  <c r="P310" i="7" s="1"/>
  <c r="AH321" i="7"/>
  <c r="AG321" i="7"/>
  <c r="AF321" i="7"/>
  <c r="AK320" i="7"/>
  <c r="AI320" i="7"/>
  <c r="AJ320" i="7"/>
  <c r="AK319" i="7"/>
  <c r="AJ319" i="7"/>
  <c r="AI319" i="7"/>
  <c r="AH319" i="7"/>
  <c r="AJ316" i="7"/>
  <c r="AJ314" i="7"/>
  <c r="AJ313" i="7"/>
  <c r="AJ312" i="7"/>
  <c r="AJ311" i="7"/>
  <c r="AJ310" i="7"/>
  <c r="AJ307" i="7"/>
  <c r="AJ305" i="7"/>
  <c r="AJ304" i="7"/>
  <c r="AJ303" i="7"/>
  <c r="AJ302" i="7"/>
  <c r="AJ301" i="7"/>
  <c r="AH316" i="7"/>
  <c r="AH314" i="7"/>
  <c r="AH313" i="7"/>
  <c r="AH312" i="7"/>
  <c r="AH311" i="7"/>
  <c r="AH310" i="7"/>
  <c r="AH307" i="7"/>
  <c r="AH305" i="7"/>
  <c r="AH304" i="7"/>
  <c r="AH303" i="7"/>
  <c r="AH302" i="7"/>
  <c r="AH301" i="7"/>
  <c r="AH300" i="7"/>
  <c r="AB315" i="7"/>
  <c r="P306" i="7" s="1"/>
  <c r="AA294" i="7"/>
  <c r="U335" i="7"/>
  <c r="AO335" i="7" s="1"/>
  <c r="X334" i="7"/>
  <c r="X333" i="7"/>
  <c r="X329" i="7"/>
  <c r="X327" i="7"/>
  <c r="X326" i="7"/>
  <c r="X325" i="7"/>
  <c r="X324" i="7"/>
  <c r="X323" i="7"/>
  <c r="X321" i="7"/>
  <c r="X316" i="7"/>
  <c r="X315" i="7"/>
  <c r="X312" i="7"/>
  <c r="X308" i="7"/>
  <c r="X304" i="7"/>
  <c r="X300" i="7"/>
  <c r="V335" i="7"/>
  <c r="V334" i="7"/>
  <c r="V333" i="7"/>
  <c r="V332" i="7"/>
  <c r="V329" i="7"/>
  <c r="V327" i="7"/>
  <c r="V326" i="7"/>
  <c r="V325" i="7"/>
  <c r="V323" i="7"/>
  <c r="V321" i="7"/>
  <c r="V320" i="7"/>
  <c r="V316" i="7"/>
  <c r="V315" i="7"/>
  <c r="V312" i="7"/>
  <c r="V308" i="7"/>
  <c r="V304" i="7"/>
  <c r="V302" i="7"/>
  <c r="P330" i="7"/>
  <c r="AG266" i="7"/>
  <c r="AG267" i="7" s="1"/>
  <c r="U252" i="7" s="1"/>
  <c r="AF266" i="7"/>
  <c r="AJ266" i="7" s="1"/>
  <c r="T267" i="7"/>
  <c r="X267" i="7" s="1"/>
  <c r="T269" i="7"/>
  <c r="X269" i="7" s="1"/>
  <c r="T265" i="7"/>
  <c r="X265" i="7" s="1"/>
  <c r="T280" i="7"/>
  <c r="T273" i="7"/>
  <c r="AF253" i="7"/>
  <c r="AF260" i="7" s="1"/>
  <c r="T251" i="7" s="1"/>
  <c r="T259" i="7"/>
  <c r="T246" i="7"/>
  <c r="AG272" i="7"/>
  <c r="AK272" i="7" s="1"/>
  <c r="AF272" i="7"/>
  <c r="AJ272" i="7" s="1"/>
  <c r="AG268" i="7"/>
  <c r="AG270" i="7" s="1"/>
  <c r="U255" i="7" s="1"/>
  <c r="AF268" i="7"/>
  <c r="AF270" i="7" s="1"/>
  <c r="T255" i="7" s="1"/>
  <c r="R257" i="7"/>
  <c r="AN258" i="7" s="1"/>
  <c r="AE261" i="7"/>
  <c r="AD261" i="7"/>
  <c r="R254" i="7"/>
  <c r="AN255" i="7" s="1"/>
  <c r="R246" i="7"/>
  <c r="R245" i="7"/>
  <c r="R273" i="7"/>
  <c r="R276" i="7"/>
  <c r="X276" i="7" s="1"/>
  <c r="R247" i="7"/>
  <c r="X247" i="7" s="1"/>
  <c r="R263" i="7"/>
  <c r="X263" i="7" s="1"/>
  <c r="R280" i="7"/>
  <c r="X264" i="7"/>
  <c r="R274" i="7"/>
  <c r="X274" i="7" s="1"/>
  <c r="R261" i="7"/>
  <c r="AN262" i="7" s="1"/>
  <c r="R250" i="7"/>
  <c r="X250" i="7" s="1"/>
  <c r="S250" i="7"/>
  <c r="AE265" i="7"/>
  <c r="AR266" i="7" s="1"/>
  <c r="AD265" i="7"/>
  <c r="AQ266" i="7" s="1"/>
  <c r="AD253" i="7"/>
  <c r="R259" i="7"/>
  <c r="AD256" i="7"/>
  <c r="AJ256" i="7" s="1"/>
  <c r="S259" i="7"/>
  <c r="AE273" i="7"/>
  <c r="AI273" i="7" s="1"/>
  <c r="AD273" i="7"/>
  <c r="AJ273" i="7" s="1"/>
  <c r="AD254" i="7"/>
  <c r="AJ254" i="7" s="1"/>
  <c r="AC261" i="7"/>
  <c r="AB261" i="7"/>
  <c r="AH261" i="7" s="1"/>
  <c r="P250" i="7"/>
  <c r="P245" i="7"/>
  <c r="P265" i="7"/>
  <c r="V265" i="7" s="1"/>
  <c r="P267" i="7"/>
  <c r="AB253" i="7"/>
  <c r="AB252" i="7"/>
  <c r="AQ253" i="7" s="1"/>
  <c r="P274" i="7"/>
  <c r="AC263" i="7"/>
  <c r="AC267" i="7" s="1"/>
  <c r="AB263" i="7"/>
  <c r="AQ264" i="7" s="1"/>
  <c r="P253" i="7"/>
  <c r="AN254" i="7" s="1"/>
  <c r="P247" i="7"/>
  <c r="P273" i="7"/>
  <c r="AN274" i="7" s="1"/>
  <c r="P259" i="7"/>
  <c r="P246" i="7"/>
  <c r="AC272" i="7"/>
  <c r="AC274" i="7" s="1"/>
  <c r="AB272" i="7"/>
  <c r="AH272" i="7" s="1"/>
  <c r="AC268" i="7"/>
  <c r="AI268" i="7" s="1"/>
  <c r="AB268" i="7"/>
  <c r="AB270" i="7" s="1"/>
  <c r="P276" i="7"/>
  <c r="AB249" i="7"/>
  <c r="AQ250" i="7" s="1"/>
  <c r="P263" i="7"/>
  <c r="P277" i="7"/>
  <c r="AN278" i="7" s="1"/>
  <c r="P264" i="7"/>
  <c r="AB254" i="7"/>
  <c r="AN250" i="7"/>
  <c r="AN259" i="7"/>
  <c r="AN261" i="7"/>
  <c r="AN263" i="7"/>
  <c r="AN267" i="7"/>
  <c r="AN269" i="7"/>
  <c r="AN271" i="7"/>
  <c r="AN272" i="7"/>
  <c r="AN273" i="7"/>
  <c r="AN279" i="7"/>
  <c r="AN280" i="7"/>
  <c r="AR285" i="7"/>
  <c r="AR286" i="7"/>
  <c r="AQ285" i="7"/>
  <c r="AQ286" i="7"/>
  <c r="AR265" i="7"/>
  <c r="AR270" i="7"/>
  <c r="AR272" i="7"/>
  <c r="AR276" i="7"/>
  <c r="AR277" i="7"/>
  <c r="AR278" i="7"/>
  <c r="AR279" i="7"/>
  <c r="AR280" i="7"/>
  <c r="AR281" i="7"/>
  <c r="AR282" i="7"/>
  <c r="AR283" i="7"/>
  <c r="AQ265" i="7"/>
  <c r="AQ267" i="7"/>
  <c r="AQ270" i="7"/>
  <c r="AQ272" i="7"/>
  <c r="AQ276" i="7"/>
  <c r="AQ277" i="7"/>
  <c r="AQ278" i="7"/>
  <c r="AQ279" i="7"/>
  <c r="AQ280" i="7"/>
  <c r="AQ281" i="7"/>
  <c r="AQ282" i="7"/>
  <c r="AQ283" i="7"/>
  <c r="AR263" i="7"/>
  <c r="AQ263" i="7"/>
  <c r="AQ260" i="7"/>
  <c r="AQ246" i="7"/>
  <c r="AQ247" i="7"/>
  <c r="AQ248" i="7"/>
  <c r="AQ249" i="7"/>
  <c r="AQ251" i="7"/>
  <c r="AQ252" i="7"/>
  <c r="AQ256" i="7"/>
  <c r="AQ258" i="7"/>
  <c r="AQ259" i="7"/>
  <c r="AR246" i="7"/>
  <c r="AR247" i="7"/>
  <c r="AR248" i="7"/>
  <c r="AR249" i="7"/>
  <c r="AR251" i="7"/>
  <c r="AR252" i="7"/>
  <c r="AR256" i="7"/>
  <c r="AR258" i="7"/>
  <c r="AR259" i="7"/>
  <c r="AR260" i="7"/>
  <c r="AO281" i="7"/>
  <c r="AO279" i="7"/>
  <c r="AO278" i="7"/>
  <c r="AK245" i="7"/>
  <c r="AJ245" i="7"/>
  <c r="AJ259" i="7"/>
  <c r="AJ258" i="7"/>
  <c r="AJ257" i="7"/>
  <c r="AJ255" i="7"/>
  <c r="AJ252" i="7"/>
  <c r="AJ251" i="7"/>
  <c r="AJ250" i="7"/>
  <c r="AJ249" i="7"/>
  <c r="AJ248" i="7"/>
  <c r="AJ247" i="7"/>
  <c r="AJ246" i="7"/>
  <c r="AI245" i="7"/>
  <c r="AH245" i="7"/>
  <c r="AH259" i="7"/>
  <c r="AH258" i="7"/>
  <c r="AH257" i="7"/>
  <c r="AH255" i="7"/>
  <c r="AH251" i="7"/>
  <c r="AH250" i="7"/>
  <c r="AH248" i="7"/>
  <c r="AH247" i="7"/>
  <c r="AH246" i="7"/>
  <c r="AD286" i="7"/>
  <c r="AC286" i="7"/>
  <c r="AK285" i="7"/>
  <c r="AJ285" i="7"/>
  <c r="AI285" i="7"/>
  <c r="AH285" i="7"/>
  <c r="AJ284" i="7"/>
  <c r="AH284" i="7"/>
  <c r="AG286" i="7"/>
  <c r="AF286" i="7"/>
  <c r="AE286" i="7"/>
  <c r="AF283" i="7"/>
  <c r="T248" i="7" s="1"/>
  <c r="AC283" i="7"/>
  <c r="AB283" i="7"/>
  <c r="P248" i="7" s="1"/>
  <c r="AK282" i="7"/>
  <c r="AJ282" i="7"/>
  <c r="AI282" i="7"/>
  <c r="AH282" i="7"/>
  <c r="AK281" i="7"/>
  <c r="AJ281" i="7"/>
  <c r="AI281" i="7"/>
  <c r="AH281" i="7"/>
  <c r="AK280" i="7"/>
  <c r="AJ280" i="7"/>
  <c r="AI280" i="7"/>
  <c r="AH280" i="7"/>
  <c r="AK279" i="7"/>
  <c r="AJ279" i="7"/>
  <c r="AI279" i="7"/>
  <c r="AH279" i="7"/>
  <c r="AK278" i="7"/>
  <c r="AJ278" i="7"/>
  <c r="AI278" i="7"/>
  <c r="AH278" i="7"/>
  <c r="AJ277" i="7"/>
  <c r="AI277" i="7"/>
  <c r="AH277" i="7"/>
  <c r="AG283" i="7"/>
  <c r="U248" i="7" s="1"/>
  <c r="AK276" i="7"/>
  <c r="AJ276" i="7"/>
  <c r="AK275" i="7"/>
  <c r="AJ275" i="7"/>
  <c r="AI275" i="7"/>
  <c r="AH275" i="7"/>
  <c r="AJ271" i="7"/>
  <c r="AH271" i="7"/>
  <c r="AJ269" i="7"/>
  <c r="AK269" i="7"/>
  <c r="AH269" i="7"/>
  <c r="AE270" i="7"/>
  <c r="S255" i="7" s="1"/>
  <c r="AF267" i="7"/>
  <c r="AH266" i="7"/>
  <c r="AK264" i="7"/>
  <c r="AJ264" i="7"/>
  <c r="AI264" i="7"/>
  <c r="AH264" i="7"/>
  <c r="AJ263" i="7"/>
  <c r="AK263" i="7"/>
  <c r="AA238" i="7"/>
  <c r="X279" i="7"/>
  <c r="X278" i="7"/>
  <c r="X277" i="7"/>
  <c r="X272" i="7"/>
  <c r="X271" i="7"/>
  <c r="X270" i="7"/>
  <c r="X268" i="7"/>
  <c r="X266" i="7"/>
  <c r="X262" i="7"/>
  <c r="X260" i="7"/>
  <c r="X258" i="7"/>
  <c r="X253" i="7"/>
  <c r="X249" i="7"/>
  <c r="V279" i="7"/>
  <c r="V278" i="7"/>
  <c r="V272" i="7"/>
  <c r="V271" i="7"/>
  <c r="V270" i="7"/>
  <c r="V269" i="7"/>
  <c r="V268" i="7"/>
  <c r="V266" i="7"/>
  <c r="V262" i="7"/>
  <c r="V260" i="7"/>
  <c r="V258" i="7"/>
  <c r="V249" i="7"/>
  <c r="T275" i="7"/>
  <c r="R275" i="7"/>
  <c r="U275" i="7"/>
  <c r="P280" i="7"/>
  <c r="T211" i="7"/>
  <c r="T213" i="7"/>
  <c r="X213" i="7" s="1"/>
  <c r="AG226" i="7"/>
  <c r="AK226" i="7" s="1"/>
  <c r="AF226" i="7"/>
  <c r="T207" i="7"/>
  <c r="X207" i="7" s="1"/>
  <c r="T224" i="7"/>
  <c r="T208" i="7"/>
  <c r="AG225" i="7"/>
  <c r="AF225" i="7"/>
  <c r="AF195" i="7"/>
  <c r="AG218" i="7"/>
  <c r="AG224" i="7" s="1"/>
  <c r="U192" i="7" s="1"/>
  <c r="AF218" i="7"/>
  <c r="AQ221" i="7" s="1"/>
  <c r="T205" i="7"/>
  <c r="R190" i="7"/>
  <c r="R189" i="7"/>
  <c r="X189" i="7" s="1"/>
  <c r="R211" i="7"/>
  <c r="AE225" i="7"/>
  <c r="AI225" i="7" s="1"/>
  <c r="AD225" i="7"/>
  <c r="AD227" i="7" s="1"/>
  <c r="R203" i="7" s="1"/>
  <c r="R214" i="7"/>
  <c r="V214" i="7" s="1"/>
  <c r="AD198" i="7"/>
  <c r="AH198" i="7" s="1"/>
  <c r="R206" i="7"/>
  <c r="AN206" i="7" s="1"/>
  <c r="R220" i="7"/>
  <c r="AN220" i="7" s="1"/>
  <c r="R221" i="7"/>
  <c r="AN221" i="7" s="1"/>
  <c r="R209" i="7"/>
  <c r="AN209" i="7" s="1"/>
  <c r="AD194" i="7"/>
  <c r="AQ197" i="7" s="1"/>
  <c r="AD195" i="7"/>
  <c r="AH195" i="7" s="1"/>
  <c r="R194" i="7"/>
  <c r="X194" i="7" s="1"/>
  <c r="S194" i="7"/>
  <c r="AE210" i="7"/>
  <c r="AK210" i="7" s="1"/>
  <c r="AD210" i="7"/>
  <c r="AH210" i="7" s="1"/>
  <c r="AE209" i="7"/>
  <c r="AK209" i="7" s="1"/>
  <c r="AD209" i="7"/>
  <c r="AQ212" i="7" s="1"/>
  <c r="R217" i="7"/>
  <c r="R208" i="7"/>
  <c r="AE217" i="7"/>
  <c r="AR220" i="7" s="1"/>
  <c r="AD217" i="7"/>
  <c r="AQ220" i="7" s="1"/>
  <c r="P190" i="7"/>
  <c r="P208" i="7"/>
  <c r="P211" i="7"/>
  <c r="P213" i="7"/>
  <c r="V213" i="7" s="1"/>
  <c r="AC204" i="7"/>
  <c r="AC208" i="7" s="1"/>
  <c r="AB204" i="7"/>
  <c r="AQ207" i="7" s="1"/>
  <c r="AC226" i="7"/>
  <c r="AC227" i="7" s="1"/>
  <c r="Q203" i="7" s="1"/>
  <c r="AB226" i="7"/>
  <c r="AH226" i="7" s="1"/>
  <c r="P207" i="7"/>
  <c r="P224" i="7"/>
  <c r="V224" i="7" s="1"/>
  <c r="P191" i="7"/>
  <c r="AN191" i="7" s="1"/>
  <c r="P205" i="7"/>
  <c r="V205" i="7" s="1"/>
  <c r="AR226" i="7"/>
  <c r="AQ226" i="7"/>
  <c r="AR225" i="7"/>
  <c r="AQ225" i="7"/>
  <c r="AR224" i="7"/>
  <c r="AQ224" i="7"/>
  <c r="AR223" i="7"/>
  <c r="AQ223" i="7"/>
  <c r="AO223" i="7"/>
  <c r="AR222" i="7"/>
  <c r="AQ222" i="7"/>
  <c r="AO222" i="7"/>
  <c r="AN222" i="7"/>
  <c r="AR219" i="7"/>
  <c r="AQ219" i="7"/>
  <c r="AN218" i="7"/>
  <c r="AR217" i="7"/>
  <c r="AQ217" i="7"/>
  <c r="AN217" i="7"/>
  <c r="AR216" i="7"/>
  <c r="AQ216" i="7"/>
  <c r="AN216" i="7"/>
  <c r="AR215" i="7"/>
  <c r="AQ215" i="7"/>
  <c r="AN215" i="7"/>
  <c r="AN212" i="7"/>
  <c r="AR210" i="7"/>
  <c r="AQ210" i="7"/>
  <c r="AN210" i="7"/>
  <c r="AR209" i="7"/>
  <c r="AQ209" i="7"/>
  <c r="AR208" i="7"/>
  <c r="AQ208" i="7"/>
  <c r="AQ205" i="7"/>
  <c r="AP205" i="7"/>
  <c r="AP204" i="7"/>
  <c r="AN204" i="7"/>
  <c r="AQ203" i="7"/>
  <c r="AP203" i="7"/>
  <c r="AQ202" i="7"/>
  <c r="AP202" i="7"/>
  <c r="AN202" i="7"/>
  <c r="AP201" i="7"/>
  <c r="AN201" i="7"/>
  <c r="AQ200" i="7"/>
  <c r="AP200" i="7"/>
  <c r="AQ199" i="7"/>
  <c r="AP199" i="7"/>
  <c r="AP198" i="7"/>
  <c r="AN198" i="7"/>
  <c r="AP197" i="7"/>
  <c r="AN197" i="7"/>
  <c r="AQ196" i="7"/>
  <c r="AP196" i="7"/>
  <c r="AQ195" i="7"/>
  <c r="AP195" i="7"/>
  <c r="AQ194" i="7"/>
  <c r="AP194" i="7"/>
  <c r="AQ193" i="7"/>
  <c r="AP193" i="7"/>
  <c r="AN193" i="7"/>
  <c r="AQ192" i="7"/>
  <c r="AP192" i="7"/>
  <c r="AQ191" i="7"/>
  <c r="AP191" i="7"/>
  <c r="AQ190" i="7"/>
  <c r="AP190" i="7"/>
  <c r="AQ189" i="7"/>
  <c r="AP189" i="7"/>
  <c r="AB211" i="7"/>
  <c r="P199" i="7" s="1"/>
  <c r="AJ202" i="7"/>
  <c r="AJ200" i="7"/>
  <c r="AJ199" i="7"/>
  <c r="AJ197" i="7"/>
  <c r="AJ196" i="7"/>
  <c r="AJ194" i="7"/>
  <c r="AJ193" i="7"/>
  <c r="AJ192" i="7"/>
  <c r="AJ191" i="7"/>
  <c r="AJ190" i="7"/>
  <c r="AJ189" i="7"/>
  <c r="AJ188" i="7"/>
  <c r="AJ187" i="7"/>
  <c r="AJ186" i="7"/>
  <c r="AH202" i="7"/>
  <c r="AH200" i="7"/>
  <c r="AH199" i="7"/>
  <c r="AH197" i="7"/>
  <c r="AH196" i="7"/>
  <c r="AH194" i="7"/>
  <c r="AH193" i="7"/>
  <c r="AH192" i="7"/>
  <c r="AH191" i="7"/>
  <c r="AH190" i="7"/>
  <c r="AH189" i="7"/>
  <c r="AH188" i="7"/>
  <c r="AH187" i="7"/>
  <c r="AH186" i="7"/>
  <c r="AB201" i="7"/>
  <c r="P195" i="7" s="1"/>
  <c r="AH205" i="7"/>
  <c r="AH206" i="7"/>
  <c r="AH207" i="7"/>
  <c r="AI205" i="7"/>
  <c r="AI206" i="7"/>
  <c r="AC224" i="7"/>
  <c r="Q192" i="7" s="1"/>
  <c r="AB224" i="7"/>
  <c r="P192" i="7" s="1"/>
  <c r="AK223" i="7"/>
  <c r="AJ223" i="7"/>
  <c r="AI223" i="7"/>
  <c r="AH223" i="7"/>
  <c r="AK222" i="7"/>
  <c r="AJ222" i="7"/>
  <c r="AI222" i="7"/>
  <c r="AH222" i="7"/>
  <c r="AK221" i="7"/>
  <c r="AJ221" i="7"/>
  <c r="AI221" i="7"/>
  <c r="AH221" i="7"/>
  <c r="AK220" i="7"/>
  <c r="AJ220" i="7"/>
  <c r="AI220" i="7"/>
  <c r="AH220" i="7"/>
  <c r="AK219" i="7"/>
  <c r="AJ219" i="7"/>
  <c r="AI219" i="7"/>
  <c r="AH219" i="7"/>
  <c r="AI218" i="7"/>
  <c r="AH218" i="7"/>
  <c r="AK216" i="7"/>
  <c r="AJ216" i="7"/>
  <c r="AG215" i="7"/>
  <c r="U200" i="7" s="1"/>
  <c r="AF215" i="7"/>
  <c r="T200" i="7" s="1"/>
  <c r="AE215" i="7"/>
  <c r="S200" i="7" s="1"/>
  <c r="AD215" i="7"/>
  <c r="AC215" i="7"/>
  <c r="Q200" i="7" s="1"/>
  <c r="AB215" i="7"/>
  <c r="P200" i="7" s="1"/>
  <c r="AK214" i="7"/>
  <c r="AJ214" i="7"/>
  <c r="AI214" i="7"/>
  <c r="AH214" i="7"/>
  <c r="AK213" i="7"/>
  <c r="AJ213" i="7"/>
  <c r="AI213" i="7"/>
  <c r="AH213" i="7"/>
  <c r="AJ212" i="7"/>
  <c r="AH212" i="7"/>
  <c r="AG211" i="7"/>
  <c r="U199" i="7" s="1"/>
  <c r="AF211" i="7"/>
  <c r="T199" i="7" s="1"/>
  <c r="AC211" i="7"/>
  <c r="Q199" i="7" s="1"/>
  <c r="AE208" i="7"/>
  <c r="S196" i="7" s="1"/>
  <c r="AD208" i="7"/>
  <c r="R196" i="7" s="1"/>
  <c r="AJ207" i="7"/>
  <c r="AK206" i="7"/>
  <c r="AJ206" i="7"/>
  <c r="AK205" i="7"/>
  <c r="AJ205" i="7"/>
  <c r="AG204" i="7"/>
  <c r="AG208" i="7" s="1"/>
  <c r="U196" i="7" s="1"/>
  <c r="AF208" i="7"/>
  <c r="T196" i="7" s="1"/>
  <c r="AJ204" i="7"/>
  <c r="X222" i="7"/>
  <c r="X218" i="7"/>
  <c r="X217" i="7"/>
  <c r="X216" i="7"/>
  <c r="X215" i="7"/>
  <c r="X212" i="7"/>
  <c r="X210" i="7"/>
  <c r="X206" i="7"/>
  <c r="X204" i="7"/>
  <c r="X202" i="7"/>
  <c r="X201" i="7"/>
  <c r="X198" i="7"/>
  <c r="X197" i="7"/>
  <c r="X193" i="7"/>
  <c r="X191" i="7"/>
  <c r="V222" i="7"/>
  <c r="V218" i="7"/>
  <c r="V217" i="7"/>
  <c r="V216" i="7"/>
  <c r="V215" i="7"/>
  <c r="V212" i="7"/>
  <c r="V210" i="7"/>
  <c r="V206" i="7"/>
  <c r="V204" i="7"/>
  <c r="V202" i="7"/>
  <c r="V201" i="7"/>
  <c r="V198" i="7"/>
  <c r="V197" i="7"/>
  <c r="V193" i="7"/>
  <c r="R223" i="7"/>
  <c r="X223" i="7" s="1"/>
  <c r="P219" i="7"/>
  <c r="AA177" i="7"/>
  <c r="T156" i="7"/>
  <c r="X156" i="7" s="1"/>
  <c r="T154" i="7"/>
  <c r="U154" i="7"/>
  <c r="T155" i="7"/>
  <c r="AN155" i="7" s="1"/>
  <c r="AG150" i="7"/>
  <c r="AG154" i="7" s="1"/>
  <c r="U139" i="7" s="1"/>
  <c r="AF150" i="7"/>
  <c r="AF154" i="7" s="1"/>
  <c r="T139" i="7" s="1"/>
  <c r="T152" i="7"/>
  <c r="T160" i="7"/>
  <c r="T167" i="7"/>
  <c r="AN167" i="7" s="1"/>
  <c r="T134" i="7"/>
  <c r="AN153" i="7"/>
  <c r="AF140" i="7"/>
  <c r="AF147" i="7" s="1"/>
  <c r="T138" i="7" s="1"/>
  <c r="T146" i="7"/>
  <c r="X146" i="7" s="1"/>
  <c r="T144" i="7"/>
  <c r="X144" i="7" s="1"/>
  <c r="AE148" i="7"/>
  <c r="AD148" i="7"/>
  <c r="AJ148" i="7" s="1"/>
  <c r="R133" i="7"/>
  <c r="X133" i="7" s="1"/>
  <c r="R132" i="7"/>
  <c r="R154" i="7"/>
  <c r="V154" i="7" s="1"/>
  <c r="R140" i="7"/>
  <c r="X140" i="7" s="1"/>
  <c r="R160" i="7"/>
  <c r="R166" i="7"/>
  <c r="AD140" i="7"/>
  <c r="AD136" i="7"/>
  <c r="AD142" i="7"/>
  <c r="AQ142" i="7" s="1"/>
  <c r="AE162" i="7"/>
  <c r="AK162" i="7" s="1"/>
  <c r="AD162" i="7"/>
  <c r="AQ162" i="7" s="1"/>
  <c r="R164" i="7"/>
  <c r="V164" i="7" s="1"/>
  <c r="R134" i="7"/>
  <c r="AD141" i="7"/>
  <c r="AJ141" i="7" s="1"/>
  <c r="AE155" i="7"/>
  <c r="AI155" i="7" s="1"/>
  <c r="AD155" i="7"/>
  <c r="AH155" i="7" s="1"/>
  <c r="AE150" i="7"/>
  <c r="AI150" i="7" s="1"/>
  <c r="AD150" i="7"/>
  <c r="AD154" i="7" s="1"/>
  <c r="R139" i="7" s="1"/>
  <c r="R163" i="7"/>
  <c r="X163" i="7" s="1"/>
  <c r="AD132" i="7"/>
  <c r="AJ132" i="7" s="1"/>
  <c r="AD138" i="7"/>
  <c r="R137" i="7"/>
  <c r="X137" i="7" s="1"/>
  <c r="P163" i="7"/>
  <c r="P162" i="7" s="1"/>
  <c r="Q163" i="7"/>
  <c r="P146" i="7"/>
  <c r="Q146" i="7"/>
  <c r="P141" i="7"/>
  <c r="V141" i="7" s="1"/>
  <c r="P133" i="7"/>
  <c r="P132" i="7"/>
  <c r="AC148" i="7"/>
  <c r="AB148" i="7"/>
  <c r="AB144" i="7"/>
  <c r="AH144" i="7" s="1"/>
  <c r="P151" i="7"/>
  <c r="AB138" i="7"/>
  <c r="P160" i="7"/>
  <c r="P137" i="7"/>
  <c r="AB141" i="7"/>
  <c r="AB140" i="7"/>
  <c r="P150" i="7"/>
  <c r="V150" i="7" s="1"/>
  <c r="AB136" i="7"/>
  <c r="P134" i="7"/>
  <c r="P152" i="7"/>
  <c r="P144" i="7"/>
  <c r="AR158" i="7"/>
  <c r="AQ158" i="7"/>
  <c r="AN145" i="7"/>
  <c r="AO145" i="7"/>
  <c r="AQ143" i="7"/>
  <c r="AQ151" i="7"/>
  <c r="AQ152" i="7"/>
  <c r="AQ153" i="7"/>
  <c r="AQ156" i="7"/>
  <c r="AQ159" i="7"/>
  <c r="AQ160" i="7"/>
  <c r="AQ163" i="7"/>
  <c r="AQ164" i="7"/>
  <c r="AQ165" i="7"/>
  <c r="AQ166" i="7"/>
  <c r="AQ167" i="7"/>
  <c r="AQ168" i="7"/>
  <c r="AQ169" i="7"/>
  <c r="AR151" i="7"/>
  <c r="AR152" i="7"/>
  <c r="AR153" i="7"/>
  <c r="AR156" i="7"/>
  <c r="AR159" i="7"/>
  <c r="AR160" i="7"/>
  <c r="AR163" i="7"/>
  <c r="AR164" i="7"/>
  <c r="AR165" i="7"/>
  <c r="AR166" i="7"/>
  <c r="AR167" i="7"/>
  <c r="AR168" i="7"/>
  <c r="AR169" i="7"/>
  <c r="AJ146" i="7"/>
  <c r="AJ145" i="7"/>
  <c r="AJ144" i="7"/>
  <c r="AJ143" i="7"/>
  <c r="AJ139" i="7"/>
  <c r="AJ137" i="7"/>
  <c r="AJ135" i="7"/>
  <c r="AJ134" i="7"/>
  <c r="AJ133" i="7"/>
  <c r="AH146" i="7"/>
  <c r="AH145" i="7"/>
  <c r="AH143" i="7"/>
  <c r="AH139" i="7"/>
  <c r="AH137" i="7"/>
  <c r="AH135" i="7"/>
  <c r="AH134" i="7"/>
  <c r="AH133" i="7"/>
  <c r="AO165" i="7"/>
  <c r="AN136" i="7"/>
  <c r="AN147" i="7"/>
  <c r="AN148" i="7"/>
  <c r="AN149" i="7"/>
  <c r="AN156" i="7"/>
  <c r="AN157" i="7"/>
  <c r="AN158" i="7"/>
  <c r="AN159" i="7"/>
  <c r="AN161" i="7"/>
  <c r="AN165" i="7"/>
  <c r="AQ133" i="7"/>
  <c r="AQ134" i="7"/>
  <c r="AQ135" i="7"/>
  <c r="AQ137" i="7"/>
  <c r="AQ139" i="7"/>
  <c r="AQ145" i="7"/>
  <c r="AQ146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32" i="7"/>
  <c r="AC170" i="7"/>
  <c r="AB170" i="7"/>
  <c r="AK169" i="7"/>
  <c r="AJ169" i="7"/>
  <c r="AI169" i="7"/>
  <c r="AH169" i="7"/>
  <c r="AG170" i="7"/>
  <c r="U135" i="7" s="1"/>
  <c r="AF170" i="7"/>
  <c r="T135" i="7" s="1"/>
  <c r="AK168" i="7"/>
  <c r="AJ168" i="7"/>
  <c r="AI168" i="7"/>
  <c r="AH168" i="7"/>
  <c r="AK167" i="7"/>
  <c r="AJ167" i="7"/>
  <c r="AI167" i="7"/>
  <c r="AH167" i="7"/>
  <c r="AK166" i="7"/>
  <c r="AJ166" i="7"/>
  <c r="AI166" i="7"/>
  <c r="AH166" i="7"/>
  <c r="AK165" i="7"/>
  <c r="AJ165" i="7"/>
  <c r="AI165" i="7"/>
  <c r="AH165" i="7"/>
  <c r="AK164" i="7"/>
  <c r="AJ164" i="7"/>
  <c r="AI164" i="7"/>
  <c r="AH164" i="7"/>
  <c r="AK163" i="7"/>
  <c r="AJ163" i="7"/>
  <c r="AI163" i="7"/>
  <c r="AH163" i="7"/>
  <c r="AG157" i="7"/>
  <c r="U142" i="7" s="1"/>
  <c r="AF157" i="7"/>
  <c r="T142" i="7" s="1"/>
  <c r="AK156" i="7"/>
  <c r="AJ156" i="7"/>
  <c r="AI156" i="7"/>
  <c r="AH156" i="7"/>
  <c r="AG161" i="7"/>
  <c r="U143" i="7" s="1"/>
  <c r="AF161" i="7"/>
  <c r="T143" i="7" s="1"/>
  <c r="AE161" i="7"/>
  <c r="S143" i="7" s="1"/>
  <c r="AC161" i="7"/>
  <c r="Q143" i="7" s="1"/>
  <c r="AB161" i="7"/>
  <c r="P143" i="7" s="1"/>
  <c r="AK160" i="7"/>
  <c r="AJ160" i="7"/>
  <c r="AK159" i="7"/>
  <c r="AI159" i="7"/>
  <c r="AJ158" i="7"/>
  <c r="AH158" i="7"/>
  <c r="AC154" i="7"/>
  <c r="AB154" i="7"/>
  <c r="AJ153" i="7"/>
  <c r="AH153" i="7"/>
  <c r="AK152" i="7"/>
  <c r="AJ152" i="7"/>
  <c r="AI152" i="7"/>
  <c r="AH152" i="7"/>
  <c r="AK151" i="7"/>
  <c r="AJ151" i="7"/>
  <c r="AI151" i="7"/>
  <c r="AH151" i="7"/>
  <c r="AO149" i="7"/>
  <c r="AA123" i="7"/>
  <c r="X165" i="7"/>
  <c r="X161" i="7"/>
  <c r="X159" i="7"/>
  <c r="X158" i="7"/>
  <c r="X157" i="7"/>
  <c r="X150" i="7"/>
  <c r="X149" i="7"/>
  <c r="X148" i="7"/>
  <c r="X147" i="7"/>
  <c r="X145" i="7"/>
  <c r="X141" i="7"/>
  <c r="X136" i="7"/>
  <c r="V161" i="7"/>
  <c r="V159" i="7"/>
  <c r="V158" i="7"/>
  <c r="V157" i="7"/>
  <c r="V156" i="7"/>
  <c r="V155" i="7"/>
  <c r="V153" i="7"/>
  <c r="V149" i="7"/>
  <c r="V148" i="7"/>
  <c r="V147" i="7"/>
  <c r="V145" i="7"/>
  <c r="V136" i="7"/>
  <c r="T71" i="7"/>
  <c r="T92" i="7"/>
  <c r="T98" i="7"/>
  <c r="T103" i="7"/>
  <c r="AN103" i="7" s="1"/>
  <c r="T72" i="7"/>
  <c r="X72" i="7" s="1"/>
  <c r="T89" i="7"/>
  <c r="X89" i="7" s="1"/>
  <c r="T84" i="7"/>
  <c r="T90" i="7"/>
  <c r="T105" i="7"/>
  <c r="AN105" i="7" s="1"/>
  <c r="AF76" i="7"/>
  <c r="AG102" i="7"/>
  <c r="AG103" i="7" s="1"/>
  <c r="U73" i="7" s="1"/>
  <c r="AF102" i="7"/>
  <c r="AF103" i="7" s="1"/>
  <c r="T73" i="7" s="1"/>
  <c r="U85" i="7"/>
  <c r="AO85" i="7" s="1"/>
  <c r="T85" i="7"/>
  <c r="X85" i="7" s="1"/>
  <c r="R71" i="7"/>
  <c r="R70" i="7"/>
  <c r="X70" i="7" s="1"/>
  <c r="R84" i="7"/>
  <c r="V84" i="7" s="1"/>
  <c r="R92" i="7"/>
  <c r="R96" i="7"/>
  <c r="V96" i="7" s="1"/>
  <c r="R98" i="7"/>
  <c r="S104" i="7"/>
  <c r="R104" i="7"/>
  <c r="X104" i="7" s="1"/>
  <c r="AD75" i="7"/>
  <c r="AJ75" i="7" s="1"/>
  <c r="AD71" i="7"/>
  <c r="AJ71" i="7" s="1"/>
  <c r="AD76" i="7"/>
  <c r="AF87" i="7"/>
  <c r="T77" i="7" s="1"/>
  <c r="AE83" i="7"/>
  <c r="AE87" i="7" s="1"/>
  <c r="AD83" i="7"/>
  <c r="AQ88" i="7" s="1"/>
  <c r="R87" i="7"/>
  <c r="X87" i="7" s="1"/>
  <c r="AD78" i="7"/>
  <c r="AJ78" i="7" s="1"/>
  <c r="AE92" i="7"/>
  <c r="AK92" i="7" s="1"/>
  <c r="AD92" i="7"/>
  <c r="AQ97" i="7" s="1"/>
  <c r="AE93" i="7"/>
  <c r="AR98" i="7" s="1"/>
  <c r="AD93" i="7"/>
  <c r="AH93" i="7" s="1"/>
  <c r="R101" i="7"/>
  <c r="AN101" i="7" s="1"/>
  <c r="R74" i="7"/>
  <c r="V74" i="7" s="1"/>
  <c r="AO75" i="7"/>
  <c r="AO79" i="7"/>
  <c r="AO82" i="7"/>
  <c r="AO83" i="7"/>
  <c r="AO86" i="7"/>
  <c r="AO88" i="7"/>
  <c r="AO93" i="7"/>
  <c r="AO94" i="7"/>
  <c r="AO95" i="7"/>
  <c r="AO97" i="7"/>
  <c r="AO99" i="7"/>
  <c r="AN75" i="7"/>
  <c r="AN79" i="7"/>
  <c r="AN82" i="7"/>
  <c r="AN83" i="7"/>
  <c r="AN86" i="7"/>
  <c r="AN88" i="7"/>
  <c r="AN93" i="7"/>
  <c r="AN94" i="7"/>
  <c r="AN95" i="7"/>
  <c r="AN97" i="7"/>
  <c r="AN99" i="7"/>
  <c r="P71" i="7"/>
  <c r="P70" i="7"/>
  <c r="Q104" i="7"/>
  <c r="P104" i="7"/>
  <c r="P92" i="7"/>
  <c r="P78" i="7"/>
  <c r="V78" i="7" s="1"/>
  <c r="AB78" i="7"/>
  <c r="Q102" i="7"/>
  <c r="AO102" i="7" s="1"/>
  <c r="P102" i="7"/>
  <c r="P98" i="7"/>
  <c r="AB71" i="7"/>
  <c r="AB76" i="7"/>
  <c r="AB75" i="7"/>
  <c r="P90" i="7"/>
  <c r="AC102" i="7"/>
  <c r="AB102" i="7"/>
  <c r="AH102" i="7" s="1"/>
  <c r="AC88" i="7"/>
  <c r="AC90" i="7" s="1"/>
  <c r="Q80" i="7" s="1"/>
  <c r="AB88" i="7"/>
  <c r="AB90" i="7" s="1"/>
  <c r="P80" i="7" s="1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70" i="7"/>
  <c r="AR70" i="7"/>
  <c r="AQ71" i="7"/>
  <c r="AQ72" i="7"/>
  <c r="AQ73" i="7"/>
  <c r="AQ75" i="7"/>
  <c r="AQ76" i="7"/>
  <c r="AQ77" i="7"/>
  <c r="AQ80" i="7"/>
  <c r="AQ82" i="7"/>
  <c r="AQ83" i="7"/>
  <c r="AQ84" i="7"/>
  <c r="AQ70" i="7"/>
  <c r="AR89" i="7"/>
  <c r="AR90" i="7"/>
  <c r="AR91" i="7"/>
  <c r="AQ89" i="7"/>
  <c r="AQ90" i="7"/>
  <c r="AQ91" i="7"/>
  <c r="AR96" i="7"/>
  <c r="AQ96" i="7"/>
  <c r="AR94" i="7"/>
  <c r="AQ94" i="7"/>
  <c r="AR101" i="7"/>
  <c r="AR102" i="7"/>
  <c r="AR103" i="7"/>
  <c r="AR104" i="7"/>
  <c r="AR105" i="7"/>
  <c r="AR106" i="7"/>
  <c r="AQ100" i="7"/>
  <c r="AR100" i="7"/>
  <c r="AQ101" i="7"/>
  <c r="AQ102" i="7"/>
  <c r="AQ103" i="7"/>
  <c r="AQ104" i="7"/>
  <c r="AQ105" i="7"/>
  <c r="AQ106" i="7"/>
  <c r="S101" i="7"/>
  <c r="AO101" i="7" s="1"/>
  <c r="R102" i="7"/>
  <c r="X102" i="7" s="1"/>
  <c r="V103" i="7"/>
  <c r="X99" i="7"/>
  <c r="X97" i="7"/>
  <c r="X95" i="7"/>
  <c r="X94" i="7"/>
  <c r="X93" i="7"/>
  <c r="X88" i="7"/>
  <c r="X86" i="7"/>
  <c r="X83" i="7"/>
  <c r="X82" i="7"/>
  <c r="X79" i="7"/>
  <c r="X78" i="7"/>
  <c r="X75" i="7"/>
  <c r="V99" i="7"/>
  <c r="V97" i="7"/>
  <c r="V95" i="7"/>
  <c r="V94" i="7"/>
  <c r="V93" i="7"/>
  <c r="V91" i="7"/>
  <c r="V88" i="7"/>
  <c r="V86" i="7"/>
  <c r="V85" i="7"/>
  <c r="V83" i="7"/>
  <c r="V82" i="7"/>
  <c r="V79" i="7"/>
  <c r="V75" i="7"/>
  <c r="V72" i="7"/>
  <c r="AI96" i="7"/>
  <c r="AI97" i="7"/>
  <c r="AI98" i="7"/>
  <c r="AI99" i="7"/>
  <c r="AI100" i="7"/>
  <c r="AI101" i="7"/>
  <c r="AI95" i="7"/>
  <c r="AA62" i="7"/>
  <c r="AE103" i="7"/>
  <c r="S73" i="7" s="1"/>
  <c r="AD103" i="7"/>
  <c r="R73" i="7" s="1"/>
  <c r="AK101" i="7"/>
  <c r="AJ101" i="7"/>
  <c r="AH101" i="7"/>
  <c r="AK100" i="7"/>
  <c r="AJ100" i="7"/>
  <c r="AH100" i="7"/>
  <c r="AK99" i="7"/>
  <c r="AJ99" i="7"/>
  <c r="AH99" i="7"/>
  <c r="AK98" i="7"/>
  <c r="AJ98" i="7"/>
  <c r="AH98" i="7"/>
  <c r="AK97" i="7"/>
  <c r="AJ97" i="7"/>
  <c r="AH97" i="7"/>
  <c r="AK96" i="7"/>
  <c r="AJ96" i="7"/>
  <c r="AH96" i="7"/>
  <c r="AK95" i="7"/>
  <c r="AJ95" i="7"/>
  <c r="AH95" i="7"/>
  <c r="AG90" i="7"/>
  <c r="U80" i="7" s="1"/>
  <c r="AF90" i="7"/>
  <c r="T80" i="7" s="1"/>
  <c r="AK89" i="7"/>
  <c r="AJ89" i="7"/>
  <c r="AI89" i="7"/>
  <c r="AH89" i="7"/>
  <c r="AK88" i="7"/>
  <c r="AJ88" i="7"/>
  <c r="AG94" i="7"/>
  <c r="U81" i="7" s="1"/>
  <c r="AF94" i="7"/>
  <c r="T81" i="7" s="1"/>
  <c r="AC94" i="7"/>
  <c r="Q81" i="7" s="1"/>
  <c r="AB94" i="7"/>
  <c r="P81" i="7" s="1"/>
  <c r="AJ91" i="7"/>
  <c r="AH91" i="7"/>
  <c r="AC87" i="7"/>
  <c r="AB87" i="7"/>
  <c r="P77" i="7" s="1"/>
  <c r="AJ86" i="7"/>
  <c r="AH86" i="7"/>
  <c r="AK85" i="7"/>
  <c r="AJ85" i="7"/>
  <c r="AI85" i="7"/>
  <c r="AH85" i="7"/>
  <c r="AI84" i="7"/>
  <c r="AH84" i="7"/>
  <c r="AK84" i="7"/>
  <c r="AJ84" i="7"/>
  <c r="AJ81" i="7"/>
  <c r="AH81" i="7"/>
  <c r="AJ80" i="7"/>
  <c r="AH80" i="7"/>
  <c r="AJ79" i="7"/>
  <c r="AJ77" i="7"/>
  <c r="AH77" i="7"/>
  <c r="AJ74" i="7"/>
  <c r="AH74" i="7"/>
  <c r="AJ73" i="7"/>
  <c r="AH73" i="7"/>
  <c r="AJ72" i="7"/>
  <c r="AJ70" i="7"/>
  <c r="AH70" i="7"/>
  <c r="AJ69" i="7"/>
  <c r="AH69" i="7"/>
  <c r="AJ68" i="7"/>
  <c r="AH68" i="7"/>
  <c r="R18" i="7"/>
  <c r="U17" i="7"/>
  <c r="AF45" i="7"/>
  <c r="T14" i="7" s="1"/>
  <c r="AD45" i="7"/>
  <c r="R14" i="7" s="1"/>
  <c r="AE45" i="7"/>
  <c r="S14" i="7" s="1"/>
  <c r="AG36" i="7"/>
  <c r="U22" i="7" s="1"/>
  <c r="AF36" i="7"/>
  <c r="T22" i="7" s="1"/>
  <c r="AE36" i="7"/>
  <c r="S22" i="7" s="1"/>
  <c r="AD36" i="7"/>
  <c r="R22" i="7" s="1"/>
  <c r="AB36" i="7"/>
  <c r="P22" i="7" s="1"/>
  <c r="AC32" i="7"/>
  <c r="Q21" i="7" s="1"/>
  <c r="AB32" i="7"/>
  <c r="P21" i="7" s="1"/>
  <c r="AQ35" i="7"/>
  <c r="AG32" i="7"/>
  <c r="U21" i="7" s="1"/>
  <c r="AF32" i="7"/>
  <c r="T21" i="7" s="1"/>
  <c r="AE30" i="7"/>
  <c r="AE32" i="7" s="1"/>
  <c r="S21" i="7" s="1"/>
  <c r="AD30" i="7"/>
  <c r="AH30" i="7" s="1"/>
  <c r="AO40" i="7"/>
  <c r="AO41" i="7"/>
  <c r="AN15" i="7"/>
  <c r="AN16" i="7"/>
  <c r="AN19" i="7"/>
  <c r="AN22" i="7"/>
  <c r="AN23" i="7"/>
  <c r="AN28" i="7"/>
  <c r="AN33" i="7"/>
  <c r="AN34" i="7"/>
  <c r="AN36" i="7"/>
  <c r="AN40" i="7"/>
  <c r="AN41" i="7"/>
  <c r="AR27" i="7"/>
  <c r="AR28" i="7"/>
  <c r="AR33" i="7"/>
  <c r="AR34" i="7"/>
  <c r="AR31" i="7"/>
  <c r="AR37" i="7"/>
  <c r="AR38" i="7"/>
  <c r="AR40" i="7"/>
  <c r="AR41" i="7"/>
  <c r="AR42" i="7"/>
  <c r="AR43" i="7"/>
  <c r="AR44" i="7"/>
  <c r="AQ8" i="7"/>
  <c r="AQ9" i="7"/>
  <c r="AQ10" i="7"/>
  <c r="AQ14" i="7"/>
  <c r="AQ18" i="7"/>
  <c r="AQ20" i="7"/>
  <c r="AQ21" i="7"/>
  <c r="AQ27" i="7"/>
  <c r="AQ28" i="7"/>
  <c r="AQ33" i="7"/>
  <c r="AQ34" i="7"/>
  <c r="AQ31" i="7"/>
  <c r="AQ37" i="7"/>
  <c r="AQ38" i="7"/>
  <c r="AQ40" i="7"/>
  <c r="AQ41" i="7"/>
  <c r="AQ42" i="7"/>
  <c r="AQ43" i="7"/>
  <c r="AQ44" i="7"/>
  <c r="AJ8" i="7"/>
  <c r="AJ9" i="7"/>
  <c r="AJ10" i="7"/>
  <c r="AJ14" i="7"/>
  <c r="AJ18" i="7"/>
  <c r="AJ20" i="7"/>
  <c r="AJ21" i="7"/>
  <c r="AJ25" i="7"/>
  <c r="AJ27" i="7"/>
  <c r="AJ28" i="7"/>
  <c r="AJ33" i="7"/>
  <c r="AJ34" i="7"/>
  <c r="AJ35" i="7"/>
  <c r="AJ31" i="7"/>
  <c r="AJ37" i="7"/>
  <c r="AJ38" i="7"/>
  <c r="AJ40" i="7"/>
  <c r="AJ41" i="7"/>
  <c r="AJ42" i="7"/>
  <c r="AJ43" i="7"/>
  <c r="AJ44" i="7"/>
  <c r="Y44" i="7"/>
  <c r="Y45" i="7"/>
  <c r="X19" i="7"/>
  <c r="X20" i="7"/>
  <c r="X23" i="7"/>
  <c r="X26" i="7"/>
  <c r="X27" i="7"/>
  <c r="X32" i="7"/>
  <c r="X34" i="7"/>
  <c r="X37" i="7"/>
  <c r="X38" i="7"/>
  <c r="X40" i="7"/>
  <c r="X44" i="7"/>
  <c r="X45" i="7"/>
  <c r="V45" i="7"/>
  <c r="W45" i="7"/>
  <c r="W44" i="7"/>
  <c r="V44" i="7"/>
  <c r="AH8" i="7"/>
  <c r="AH9" i="7"/>
  <c r="AH10" i="7"/>
  <c r="AH14" i="7"/>
  <c r="AH18" i="7"/>
  <c r="AH20" i="7"/>
  <c r="AH21" i="7"/>
  <c r="AH26" i="7"/>
  <c r="AH27" i="7"/>
  <c r="AH28" i="7"/>
  <c r="AH33" i="7"/>
  <c r="AH34" i="7"/>
  <c r="AH35" i="7"/>
  <c r="AH31" i="7"/>
  <c r="AH37" i="7"/>
  <c r="AH38" i="7"/>
  <c r="AH40" i="7"/>
  <c r="AH41" i="7"/>
  <c r="AH42" i="7"/>
  <c r="AH43" i="7"/>
  <c r="AH44" i="7"/>
  <c r="V19" i="7"/>
  <c r="V20" i="7"/>
  <c r="V23" i="7"/>
  <c r="V26" i="7"/>
  <c r="V27" i="7"/>
  <c r="V28" i="7"/>
  <c r="V32" i="7"/>
  <c r="V37" i="7"/>
  <c r="V38" i="7"/>
  <c r="V40" i="7"/>
  <c r="T41" i="7"/>
  <c r="U41" i="7"/>
  <c r="Q41" i="7"/>
  <c r="P41" i="7"/>
  <c r="T12" i="7"/>
  <c r="AG26" i="7"/>
  <c r="AK26" i="7" s="1"/>
  <c r="AF26" i="7"/>
  <c r="AQ26" i="7" s="1"/>
  <c r="AF22" i="7"/>
  <c r="T17" i="7" s="1"/>
  <c r="T28" i="7"/>
  <c r="AN24" i="7" s="1"/>
  <c r="T33" i="7"/>
  <c r="T35" i="7"/>
  <c r="X35" i="7" s="1"/>
  <c r="AE23" i="7"/>
  <c r="AD23" i="7"/>
  <c r="AQ23" i="7" s="1"/>
  <c r="R16" i="7"/>
  <c r="AN12" i="7" s="1"/>
  <c r="R12" i="7"/>
  <c r="R11" i="7"/>
  <c r="X11" i="7" s="1"/>
  <c r="R33" i="7"/>
  <c r="R25" i="7"/>
  <c r="X25" i="7" s="1"/>
  <c r="R36" i="7"/>
  <c r="V36" i="7" s="1"/>
  <c r="R39" i="7"/>
  <c r="X39" i="7" s="1"/>
  <c r="X30" i="7"/>
  <c r="AD12" i="7"/>
  <c r="AH12" i="7" s="1"/>
  <c r="AD7" i="7"/>
  <c r="AJ7" i="7" s="1"/>
  <c r="AD11" i="7"/>
  <c r="AQ11" i="7" s="1"/>
  <c r="AD16" i="7"/>
  <c r="AJ16" i="7" s="1"/>
  <c r="R15" i="7"/>
  <c r="V15" i="7" s="1"/>
  <c r="AD19" i="7"/>
  <c r="AH19" i="7" s="1"/>
  <c r="AD15" i="7"/>
  <c r="AH15" i="7" s="1"/>
  <c r="R42" i="7"/>
  <c r="R13" i="7"/>
  <c r="V13" i="7" s="1"/>
  <c r="R29" i="7"/>
  <c r="X29" i="7" s="1"/>
  <c r="V31" i="7"/>
  <c r="R24" i="7"/>
  <c r="V24" i="7" s="1"/>
  <c r="R43" i="7"/>
  <c r="V43" i="7" s="1"/>
  <c r="AD13" i="7"/>
  <c r="AH13" i="7" s="1"/>
  <c r="AD17" i="7"/>
  <c r="AH17" i="7" s="1"/>
  <c r="S13" i="7"/>
  <c r="S12" i="7"/>
  <c r="S11" i="7"/>
  <c r="Y11" i="7" s="1"/>
  <c r="Q39" i="7"/>
  <c r="P35" i="7"/>
  <c r="V35" i="7" s="1"/>
  <c r="Q35" i="7"/>
  <c r="P34" i="7"/>
  <c r="AN30" i="7" s="1"/>
  <c r="Q34" i="7"/>
  <c r="Q33" i="7"/>
  <c r="Q25" i="7"/>
  <c r="P25" i="7"/>
  <c r="AB22" i="7"/>
  <c r="P17" i="7" s="1"/>
  <c r="P12" i="7"/>
  <c r="P11" i="7"/>
  <c r="AC25" i="7"/>
  <c r="AI25" i="7" s="1"/>
  <c r="AB25" i="7"/>
  <c r="AH25" i="7" s="1"/>
  <c r="AE29" i="7"/>
  <c r="S18" i="7" s="1"/>
  <c r="AK25" i="7"/>
  <c r="P33" i="7"/>
  <c r="P39" i="7"/>
  <c r="P30" i="7"/>
  <c r="AK34" i="7"/>
  <c r="AI34" i="7"/>
  <c r="AB39" i="7"/>
  <c r="AH39" i="7" s="1"/>
  <c r="AC39" i="7"/>
  <c r="AR39" i="7" s="1"/>
  <c r="AR221" i="7" l="1"/>
  <c r="V194" i="7"/>
  <c r="AE329" i="7"/>
  <c r="S311" i="7" s="1"/>
  <c r="X573" i="7"/>
  <c r="AF227" i="7"/>
  <c r="T203" i="7" s="1"/>
  <c r="AN281" i="7"/>
  <c r="AK268" i="7"/>
  <c r="AE274" i="7"/>
  <c r="S256" i="7" s="1"/>
  <c r="AJ198" i="7"/>
  <c r="V328" i="7"/>
  <c r="V257" i="7"/>
  <c r="V419" i="7"/>
  <c r="AE157" i="7"/>
  <c r="S142" i="7" s="1"/>
  <c r="X629" i="7"/>
  <c r="AC338" i="7"/>
  <c r="Q303" i="7" s="1"/>
  <c r="V221" i="7"/>
  <c r="AN194" i="7"/>
  <c r="X257" i="7"/>
  <c r="AI335" i="7"/>
  <c r="AN270" i="7"/>
  <c r="AF322" i="7"/>
  <c r="T307" i="7" s="1"/>
  <c r="V274" i="7"/>
  <c r="AF329" i="7"/>
  <c r="T311" i="7" s="1"/>
  <c r="AH596" i="7"/>
  <c r="X221" i="7"/>
  <c r="AQ318" i="7"/>
  <c r="AN361" i="7"/>
  <c r="AH328" i="7"/>
  <c r="X245" i="7"/>
  <c r="R578" i="7"/>
  <c r="X578" i="7" s="1"/>
  <c r="X74" i="7"/>
  <c r="V253" i="7"/>
  <c r="V277" i="7"/>
  <c r="AI333" i="7"/>
  <c r="AJ596" i="7"/>
  <c r="AQ645" i="7"/>
  <c r="AJ645" i="7"/>
  <c r="AN246" i="7"/>
  <c r="AI328" i="7"/>
  <c r="AK328" i="7"/>
  <c r="AN332" i="7"/>
  <c r="V578" i="7"/>
  <c r="X630" i="7"/>
  <c r="X461" i="7"/>
  <c r="V461" i="7"/>
  <c r="AH265" i="7"/>
  <c r="AJ265" i="7"/>
  <c r="AI272" i="7"/>
  <c r="AD267" i="7"/>
  <c r="R252" i="7" s="1"/>
  <c r="X488" i="7"/>
  <c r="AN166" i="7"/>
  <c r="V166" i="7"/>
  <c r="X275" i="7"/>
  <c r="AN331" i="7"/>
  <c r="AG227" i="7"/>
  <c r="V469" i="7"/>
  <c r="AN574" i="7"/>
  <c r="X132" i="7"/>
  <c r="V211" i="7"/>
  <c r="AR327" i="7"/>
  <c r="AD170" i="7"/>
  <c r="R135" i="7" s="1"/>
  <c r="X135" i="7" s="1"/>
  <c r="AJ268" i="7"/>
  <c r="AD274" i="7"/>
  <c r="R256" i="7" s="1"/>
  <c r="AN268" i="7"/>
  <c r="V577" i="7"/>
  <c r="AH162" i="7"/>
  <c r="AJ162" i="7"/>
  <c r="V133" i="7"/>
  <c r="AJ226" i="7"/>
  <c r="AG322" i="7"/>
  <c r="U307" i="7" s="1"/>
  <c r="X203" i="7"/>
  <c r="X328" i="7"/>
  <c r="X577" i="7"/>
  <c r="AN74" i="7"/>
  <c r="X155" i="7"/>
  <c r="AN190" i="7"/>
  <c r="AN309" i="7"/>
  <c r="X357" i="7"/>
  <c r="V519" i="7"/>
  <c r="X309" i="7"/>
  <c r="V357" i="7"/>
  <c r="AN251" i="7"/>
  <c r="X519" i="7"/>
  <c r="V630" i="7"/>
  <c r="AN516" i="7"/>
  <c r="X365" i="7"/>
  <c r="AR645" i="7"/>
  <c r="AK645" i="7"/>
  <c r="V634" i="7"/>
  <c r="AN578" i="7"/>
  <c r="AK376" i="7"/>
  <c r="AJ589" i="7"/>
  <c r="R330" i="7"/>
  <c r="V330" i="7" s="1"/>
  <c r="AR376" i="7"/>
  <c r="V468" i="7"/>
  <c r="AN630" i="7"/>
  <c r="X331" i="7"/>
  <c r="X574" i="7"/>
  <c r="AN469" i="7"/>
  <c r="AD157" i="7"/>
  <c r="R142" i="7" s="1"/>
  <c r="X142" i="7" s="1"/>
  <c r="V574" i="7"/>
  <c r="AF224" i="7"/>
  <c r="T192" i="7" s="1"/>
  <c r="V331" i="7"/>
  <c r="AQ383" i="7"/>
  <c r="AJ218" i="7"/>
  <c r="X335" i="7"/>
  <c r="X468" i="7"/>
  <c r="AQ589" i="7"/>
  <c r="X653" i="7"/>
  <c r="X597" i="7"/>
  <c r="AH252" i="7"/>
  <c r="AN260" i="7"/>
  <c r="AQ257" i="7"/>
  <c r="AJ142" i="7"/>
  <c r="AN144" i="7"/>
  <c r="AH148" i="7"/>
  <c r="AH256" i="7"/>
  <c r="AN317" i="7"/>
  <c r="AJ209" i="7"/>
  <c r="X318" i="7"/>
  <c r="X364" i="7"/>
  <c r="V301" i="7"/>
  <c r="AI538" i="7"/>
  <c r="Q523" i="7"/>
  <c r="AH142" i="7"/>
  <c r="AR379" i="7"/>
  <c r="AR483" i="7"/>
  <c r="X301" i="7"/>
  <c r="AI483" i="7"/>
  <c r="X634" i="7"/>
  <c r="V137" i="7"/>
  <c r="AQ201" i="7"/>
  <c r="AQ379" i="7"/>
  <c r="AK596" i="7"/>
  <c r="S578" i="7"/>
  <c r="AR596" i="7"/>
  <c r="AN384" i="7"/>
  <c r="AN653" i="7"/>
  <c r="AN597" i="7"/>
  <c r="X543" i="7"/>
  <c r="AN543" i="7"/>
  <c r="AN488" i="7"/>
  <c r="AN435" i="7"/>
  <c r="AN324" i="7"/>
  <c r="V520" i="7"/>
  <c r="V361" i="7"/>
  <c r="V360" i="7"/>
  <c r="AK379" i="7"/>
  <c r="AJ383" i="7"/>
  <c r="AJ379" i="7"/>
  <c r="AQ335" i="7"/>
  <c r="AN320" i="7"/>
  <c r="X435" i="7"/>
  <c r="AF274" i="7"/>
  <c r="T256" i="7" s="1"/>
  <c r="AN300" i="7"/>
  <c r="AG274" i="7"/>
  <c r="U256" i="7" s="1"/>
  <c r="AQ273" i="7"/>
  <c r="AH138" i="7"/>
  <c r="AC270" i="7"/>
  <c r="AR271" i="7" s="1"/>
  <c r="AR273" i="7"/>
  <c r="AJ253" i="7"/>
  <c r="AH335" i="7"/>
  <c r="AQ255" i="7"/>
  <c r="X273" i="7"/>
  <c r="AQ306" i="7"/>
  <c r="V384" i="7"/>
  <c r="AN207" i="7"/>
  <c r="V267" i="7"/>
  <c r="V247" i="7"/>
  <c r="X384" i="7"/>
  <c r="AB208" i="7"/>
  <c r="P196" i="7" s="1"/>
  <c r="AN196" i="7" s="1"/>
  <c r="AR269" i="7"/>
  <c r="AQ262" i="7"/>
  <c r="V134" i="7"/>
  <c r="AE227" i="7"/>
  <c r="S203" i="7" s="1"/>
  <c r="AQ198" i="7"/>
  <c r="V263" i="7"/>
  <c r="AD315" i="7"/>
  <c r="AQ315" i="7" s="1"/>
  <c r="AB227" i="7"/>
  <c r="AR213" i="7"/>
  <c r="AB274" i="7"/>
  <c r="P256" i="7" s="1"/>
  <c r="V256" i="7" s="1"/>
  <c r="AJ309" i="7"/>
  <c r="V70" i="7"/>
  <c r="AF201" i="7"/>
  <c r="T195" i="7" s="1"/>
  <c r="AN247" i="7"/>
  <c r="AJ333" i="7"/>
  <c r="X319" i="7"/>
  <c r="AN305" i="7"/>
  <c r="AI265" i="7"/>
  <c r="X305" i="7"/>
  <c r="AN264" i="7"/>
  <c r="V319" i="7"/>
  <c r="V11" i="7"/>
  <c r="V101" i="7"/>
  <c r="AQ138" i="7"/>
  <c r="V273" i="7"/>
  <c r="AK265" i="7"/>
  <c r="AQ274" i="7"/>
  <c r="P275" i="7"/>
  <c r="AQ140" i="7"/>
  <c r="AB267" i="7"/>
  <c r="AQ333" i="7"/>
  <c r="V435" i="7"/>
  <c r="AN146" i="7"/>
  <c r="AH225" i="7"/>
  <c r="AE267" i="7"/>
  <c r="S252" i="7" s="1"/>
  <c r="AD338" i="7"/>
  <c r="AH338" i="7" s="1"/>
  <c r="T330" i="7"/>
  <c r="V488" i="7"/>
  <c r="AR212" i="7"/>
  <c r="AI226" i="7"/>
  <c r="AN211" i="7"/>
  <c r="AN248" i="7"/>
  <c r="AN301" i="7"/>
  <c r="V314" i="7"/>
  <c r="AN322" i="7"/>
  <c r="V543" i="7"/>
  <c r="AQ213" i="7"/>
  <c r="AR287" i="7"/>
  <c r="AK341" i="7"/>
  <c r="V597" i="7"/>
  <c r="AH204" i="7"/>
  <c r="V245" i="7"/>
  <c r="V653" i="7"/>
  <c r="P255" i="7"/>
  <c r="AN140" i="7"/>
  <c r="X160" i="7"/>
  <c r="AN134" i="7"/>
  <c r="V207" i="7"/>
  <c r="AN277" i="7"/>
  <c r="Q248" i="7"/>
  <c r="V250" i="7"/>
  <c r="X314" i="7"/>
  <c r="AE338" i="7"/>
  <c r="AK338" i="7" s="1"/>
  <c r="AI341" i="7"/>
  <c r="AQ308" i="7"/>
  <c r="AN314" i="7"/>
  <c r="X313" i="7"/>
  <c r="X320" i="7"/>
  <c r="X164" i="7"/>
  <c r="AN164" i="7"/>
  <c r="V317" i="7"/>
  <c r="AJ341" i="7"/>
  <c r="AQ321" i="7"/>
  <c r="AB82" i="7"/>
  <c r="AH141" i="7"/>
  <c r="AK225" i="7"/>
  <c r="AN313" i="7"/>
  <c r="AN318" i="7"/>
  <c r="AR264" i="7"/>
  <c r="AH318" i="7"/>
  <c r="AK333" i="7"/>
  <c r="AR318" i="7"/>
  <c r="AH253" i="7"/>
  <c r="AI318" i="7"/>
  <c r="AR341" i="7"/>
  <c r="V140" i="7"/>
  <c r="AI210" i="7"/>
  <c r="AD201" i="7"/>
  <c r="R195" i="7" s="1"/>
  <c r="V195" i="7" s="1"/>
  <c r="V254" i="7"/>
  <c r="AH249" i="7"/>
  <c r="AJ261" i="7"/>
  <c r="AN265" i="7"/>
  <c r="AH308" i="7"/>
  <c r="AJ321" i="7"/>
  <c r="AR329" i="7"/>
  <c r="AJ210" i="7"/>
  <c r="X254" i="7"/>
  <c r="X280" i="7"/>
  <c r="AJ308" i="7"/>
  <c r="AR321" i="7"/>
  <c r="AK102" i="7"/>
  <c r="V146" i="7"/>
  <c r="AN224" i="7"/>
  <c r="AN205" i="7"/>
  <c r="AR267" i="7"/>
  <c r="V276" i="7"/>
  <c r="AH273" i="7"/>
  <c r="AR107" i="7"/>
  <c r="V132" i="7"/>
  <c r="X152" i="7"/>
  <c r="X214" i="7"/>
  <c r="AI204" i="7"/>
  <c r="X208" i="7"/>
  <c r="T252" i="7"/>
  <c r="AR323" i="7"/>
  <c r="X261" i="7"/>
  <c r="AK273" i="7"/>
  <c r="AH341" i="7"/>
  <c r="AN319" i="7"/>
  <c r="AQ341" i="7"/>
  <c r="X317" i="7"/>
  <c r="AN328" i="7"/>
  <c r="AE325" i="7"/>
  <c r="S310" i="7" s="1"/>
  <c r="AH325" i="7"/>
  <c r="AJ323" i="7"/>
  <c r="X302" i="7"/>
  <c r="AH309" i="7"/>
  <c r="AN302" i="7"/>
  <c r="AQ329" i="7"/>
  <c r="R311" i="7"/>
  <c r="AQ328" i="7"/>
  <c r="AJ328" i="7"/>
  <c r="AH329" i="7"/>
  <c r="S303" i="7"/>
  <c r="AR338" i="7"/>
  <c r="R306" i="7"/>
  <c r="AN306" i="7" s="1"/>
  <c r="AH306" i="7"/>
  <c r="AJ315" i="7"/>
  <c r="AH315" i="7"/>
  <c r="Q307" i="7"/>
  <c r="AB322" i="7"/>
  <c r="AI329" i="7"/>
  <c r="AJ329" i="7"/>
  <c r="AK329" i="7"/>
  <c r="AC325" i="7"/>
  <c r="Q310" i="7" s="1"/>
  <c r="AD322" i="7"/>
  <c r="AF325" i="7"/>
  <c r="AE322" i="7"/>
  <c r="AR322" i="7" s="1"/>
  <c r="AG325" i="7"/>
  <c r="U310" i="7" s="1"/>
  <c r="AI327" i="7"/>
  <c r="AH320" i="7"/>
  <c r="AJ327" i="7"/>
  <c r="AK327" i="7"/>
  <c r="AK267" i="7"/>
  <c r="AN266" i="7"/>
  <c r="AJ274" i="7"/>
  <c r="AQ269" i="7"/>
  <c r="V246" i="7"/>
  <c r="X246" i="7"/>
  <c r="V280" i="7"/>
  <c r="AN275" i="7"/>
  <c r="V261" i="7"/>
  <c r="AD260" i="7"/>
  <c r="AJ260" i="7" s="1"/>
  <c r="AR274" i="7"/>
  <c r="AN276" i="7"/>
  <c r="V264" i="7"/>
  <c r="AH254" i="7"/>
  <c r="AQ254" i="7"/>
  <c r="AB260" i="7"/>
  <c r="Q252" i="7"/>
  <c r="Q256" i="7"/>
  <c r="AI102" i="7"/>
  <c r="V220" i="7"/>
  <c r="X205" i="7"/>
  <c r="X220" i="7"/>
  <c r="AR88" i="7"/>
  <c r="X166" i="7"/>
  <c r="X209" i="7"/>
  <c r="AR207" i="7"/>
  <c r="AN208" i="7"/>
  <c r="U203" i="7"/>
  <c r="AC103" i="7"/>
  <c r="AI103" i="7" s="1"/>
  <c r="AI83" i="7"/>
  <c r="AN72" i="7"/>
  <c r="V160" i="7"/>
  <c r="AN150" i="7"/>
  <c r="V209" i="7"/>
  <c r="AH217" i="7"/>
  <c r="X211" i="7"/>
  <c r="AK83" i="7"/>
  <c r="X153" i="7"/>
  <c r="V191" i="7"/>
  <c r="AI217" i="7"/>
  <c r="AN213" i="7"/>
  <c r="AN223" i="7"/>
  <c r="AJ195" i="7"/>
  <c r="AN189" i="7"/>
  <c r="AE154" i="7"/>
  <c r="S139" i="7" s="1"/>
  <c r="AJ217" i="7"/>
  <c r="AR211" i="7"/>
  <c r="AJ225" i="7"/>
  <c r="V275" i="7"/>
  <c r="AJ155" i="7"/>
  <c r="AK217" i="7"/>
  <c r="AK155" i="7"/>
  <c r="V151" i="7"/>
  <c r="AN141" i="7"/>
  <c r="AR155" i="7"/>
  <c r="V208" i="7"/>
  <c r="AN160" i="7"/>
  <c r="AJ215" i="7"/>
  <c r="AQ155" i="7"/>
  <c r="AI267" i="7"/>
  <c r="AK270" i="7"/>
  <c r="AK286" i="7"/>
  <c r="AI286" i="7"/>
  <c r="AJ286" i="7"/>
  <c r="AD283" i="7"/>
  <c r="AQ284" i="7" s="1"/>
  <c r="AB286" i="7"/>
  <c r="AI269" i="7"/>
  <c r="AK277" i="7"/>
  <c r="AE283" i="7"/>
  <c r="AI284" i="7"/>
  <c r="AK284" i="7"/>
  <c r="AH263" i="7"/>
  <c r="AH276" i="7"/>
  <c r="AI263" i="7"/>
  <c r="AI276" i="7"/>
  <c r="AH268" i="7"/>
  <c r="AD270" i="7"/>
  <c r="R255" i="7" s="1"/>
  <c r="X256" i="7"/>
  <c r="AK218" i="7"/>
  <c r="V190" i="7"/>
  <c r="X190" i="7"/>
  <c r="V189" i="7"/>
  <c r="AH227" i="7"/>
  <c r="AJ227" i="7"/>
  <c r="AN214" i="7"/>
  <c r="AI227" i="7"/>
  <c r="P203" i="7"/>
  <c r="AN203" i="7" s="1"/>
  <c r="V196" i="7"/>
  <c r="AR218" i="7"/>
  <c r="Q196" i="7"/>
  <c r="R200" i="7"/>
  <c r="X200" i="7" s="1"/>
  <c r="AQ218" i="7"/>
  <c r="X196" i="7"/>
  <c r="X139" i="7"/>
  <c r="AN139" i="7"/>
  <c r="AJ76" i="7"/>
  <c r="AN133" i="7"/>
  <c r="AQ148" i="7"/>
  <c r="AR162" i="7"/>
  <c r="R162" i="7"/>
  <c r="X162" i="7" s="1"/>
  <c r="V144" i="7"/>
  <c r="AQ150" i="7"/>
  <c r="AH136" i="7"/>
  <c r="R219" i="7"/>
  <c r="X219" i="7" s="1"/>
  <c r="AO104" i="7"/>
  <c r="AJ150" i="7"/>
  <c r="AQ144" i="7"/>
  <c r="AN163" i="7"/>
  <c r="AR150" i="7"/>
  <c r="AH140" i="7"/>
  <c r="V223" i="7"/>
  <c r="AI162" i="7"/>
  <c r="AE170" i="7"/>
  <c r="S135" i="7" s="1"/>
  <c r="V152" i="7"/>
  <c r="X224" i="7"/>
  <c r="V163" i="7"/>
  <c r="AH132" i="7"/>
  <c r="AJ140" i="7"/>
  <c r="AK208" i="7"/>
  <c r="X154" i="7"/>
  <c r="AK215" i="7"/>
  <c r="X134" i="7"/>
  <c r="AH215" i="7"/>
  <c r="X151" i="7"/>
  <c r="AK204" i="7"/>
  <c r="AI215" i="7"/>
  <c r="AN137" i="7"/>
  <c r="AI208" i="7"/>
  <c r="AJ208" i="7"/>
  <c r="AE211" i="7"/>
  <c r="AD211" i="7"/>
  <c r="R199" i="7" s="1"/>
  <c r="X199" i="7" s="1"/>
  <c r="AH209" i="7"/>
  <c r="AI209" i="7"/>
  <c r="AD224" i="7"/>
  <c r="R192" i="7" s="1"/>
  <c r="AN192" i="7" s="1"/>
  <c r="AE224" i="7"/>
  <c r="S192" i="7" s="1"/>
  <c r="AH216" i="7"/>
  <c r="AI216" i="7"/>
  <c r="AN154" i="7"/>
  <c r="AQ154" i="7"/>
  <c r="AN132" i="7"/>
  <c r="AN152" i="7"/>
  <c r="AJ136" i="7"/>
  <c r="AQ136" i="7"/>
  <c r="AD147" i="7"/>
  <c r="R138" i="7" s="1"/>
  <c r="X138" i="7" s="1"/>
  <c r="AN151" i="7"/>
  <c r="V139" i="7"/>
  <c r="AQ132" i="7"/>
  <c r="AJ138" i="7"/>
  <c r="P135" i="7"/>
  <c r="AR161" i="7"/>
  <c r="Q135" i="7"/>
  <c r="AQ170" i="7"/>
  <c r="AB147" i="7"/>
  <c r="AI87" i="7"/>
  <c r="AQ141" i="7"/>
  <c r="AI88" i="7"/>
  <c r="AR93" i="7"/>
  <c r="V90" i="7"/>
  <c r="AJ93" i="7"/>
  <c r="AJ102" i="7"/>
  <c r="V25" i="7"/>
  <c r="AQ98" i="7"/>
  <c r="AN29" i="7"/>
  <c r="AN35" i="7"/>
  <c r="AH159" i="7"/>
  <c r="AD94" i="7"/>
  <c r="AQ99" i="7" s="1"/>
  <c r="AJ159" i="7"/>
  <c r="AQ78" i="7"/>
  <c r="AN71" i="7"/>
  <c r="X90" i="7"/>
  <c r="X12" i="7"/>
  <c r="AH92" i="7"/>
  <c r="X71" i="7"/>
  <c r="AD161" i="7"/>
  <c r="AJ92" i="7"/>
  <c r="AK157" i="7"/>
  <c r="AI161" i="7"/>
  <c r="AJ154" i="7"/>
  <c r="AH160" i="7"/>
  <c r="AB157" i="7"/>
  <c r="AI160" i="7"/>
  <c r="AK161" i="7"/>
  <c r="AC157" i="7"/>
  <c r="AH154" i="7"/>
  <c r="AH150" i="7"/>
  <c r="AK150" i="7"/>
  <c r="X92" i="7"/>
  <c r="X98" i="7"/>
  <c r="Q73" i="7"/>
  <c r="W73" i="7" s="1"/>
  <c r="V16" i="7"/>
  <c r="AC45" i="7"/>
  <c r="Q14" i="7" s="1"/>
  <c r="AH23" i="7"/>
  <c r="V87" i="7"/>
  <c r="AN102" i="7"/>
  <c r="AF82" i="7"/>
  <c r="T76" i="7" s="1"/>
  <c r="AQ17" i="7"/>
  <c r="AH83" i="7"/>
  <c r="AJ23" i="7"/>
  <c r="AH75" i="7"/>
  <c r="X84" i="7"/>
  <c r="Q100" i="7"/>
  <c r="V104" i="7"/>
  <c r="AQ107" i="7"/>
  <c r="AN26" i="7"/>
  <c r="AD32" i="7"/>
  <c r="R21" i="7" s="1"/>
  <c r="X21" i="7" s="1"/>
  <c r="P100" i="7"/>
  <c r="V29" i="7"/>
  <c r="AQ15" i="7"/>
  <c r="AN25" i="7"/>
  <c r="AB45" i="7"/>
  <c r="P14" i="7" s="1"/>
  <c r="V89" i="7"/>
  <c r="AQ81" i="7"/>
  <c r="AN89" i="7"/>
  <c r="R41" i="7"/>
  <c r="X41" i="7" s="1"/>
  <c r="V33" i="7"/>
  <c r="AF29" i="7"/>
  <c r="T18" i="7" s="1"/>
  <c r="X18" i="7" s="1"/>
  <c r="X43" i="7"/>
  <c r="AJ15" i="7"/>
  <c r="AJ30" i="7"/>
  <c r="AQ30" i="7"/>
  <c r="AN21" i="7"/>
  <c r="AN87" i="7"/>
  <c r="AH11" i="7"/>
  <c r="X13" i="7"/>
  <c r="AH78" i="7"/>
  <c r="AN104" i="7"/>
  <c r="X28" i="7"/>
  <c r="AR26" i="7"/>
  <c r="V22" i="7"/>
  <c r="X22" i="7"/>
  <c r="S77" i="7"/>
  <c r="V39" i="7"/>
  <c r="AN39" i="7"/>
  <c r="AN9" i="7"/>
  <c r="AN8" i="7"/>
  <c r="X103" i="7"/>
  <c r="X33" i="7"/>
  <c r="AJ13" i="7"/>
  <c r="AR30" i="7"/>
  <c r="AI92" i="7"/>
  <c r="AH88" i="7"/>
  <c r="AQ93" i="7"/>
  <c r="AN96" i="7"/>
  <c r="V92" i="7"/>
  <c r="V34" i="7"/>
  <c r="AH7" i="7"/>
  <c r="X16" i="7"/>
  <c r="AJ26" i="7"/>
  <c r="AJ12" i="7"/>
  <c r="AQ19" i="7"/>
  <c r="AR25" i="7"/>
  <c r="AN78" i="7"/>
  <c r="AD87" i="7"/>
  <c r="AH87" i="7" s="1"/>
  <c r="AN90" i="7"/>
  <c r="AN38" i="7"/>
  <c r="AB29" i="7"/>
  <c r="P18" i="7" s="1"/>
  <c r="V18" i="7" s="1"/>
  <c r="X31" i="7"/>
  <c r="X15" i="7"/>
  <c r="AJ11" i="7"/>
  <c r="AQ25" i="7"/>
  <c r="AC29" i="7"/>
  <c r="Q18" i="7" s="1"/>
  <c r="W18" i="7" s="1"/>
  <c r="V102" i="7"/>
  <c r="X42" i="7"/>
  <c r="AQ16" i="7"/>
  <c r="AN32" i="7"/>
  <c r="AN20" i="7"/>
  <c r="AI93" i="7"/>
  <c r="Q77" i="7"/>
  <c r="V71" i="7"/>
  <c r="AD82" i="7"/>
  <c r="R76" i="7" s="1"/>
  <c r="AN31" i="7"/>
  <c r="V12" i="7"/>
  <c r="V42" i="7"/>
  <c r="AJ19" i="7"/>
  <c r="AN7" i="7"/>
  <c r="AK93" i="7"/>
  <c r="X96" i="7"/>
  <c r="S100" i="7"/>
  <c r="AH71" i="7"/>
  <c r="AN70" i="7"/>
  <c r="AQ7" i="7"/>
  <c r="AQ13" i="7"/>
  <c r="AJ83" i="7"/>
  <c r="R100" i="7"/>
  <c r="AJ17" i="7"/>
  <c r="AQ12" i="7"/>
  <c r="AE94" i="7"/>
  <c r="V30" i="7"/>
  <c r="AH16" i="7"/>
  <c r="X36" i="7"/>
  <c r="X24" i="7"/>
  <c r="AN27" i="7"/>
  <c r="AN11" i="7"/>
  <c r="AN84" i="7"/>
  <c r="T100" i="7"/>
  <c r="Y73" i="7"/>
  <c r="AK103" i="7"/>
  <c r="X73" i="7"/>
  <c r="AJ103" i="7"/>
  <c r="AN85" i="7"/>
  <c r="AN92" i="7"/>
  <c r="AQ79" i="7"/>
  <c r="AR97" i="7"/>
  <c r="V98" i="7"/>
  <c r="AN98" i="7"/>
  <c r="AQ74" i="7"/>
  <c r="AB103" i="7"/>
  <c r="X101" i="7"/>
  <c r="AH76" i="7"/>
  <c r="AH67" i="7"/>
  <c r="AH72" i="7"/>
  <c r="AG87" i="7"/>
  <c r="U77" i="7" s="1"/>
  <c r="AJ67" i="7"/>
  <c r="AH79" i="7"/>
  <c r="AD90" i="7"/>
  <c r="R80" i="7" s="1"/>
  <c r="X80" i="7" s="1"/>
  <c r="AE90" i="7"/>
  <c r="AN18" i="7"/>
  <c r="AJ45" i="7"/>
  <c r="X14" i="7"/>
  <c r="AQ39" i="7"/>
  <c r="AJ39" i="7"/>
  <c r="AJ36" i="7"/>
  <c r="AQ36" i="7"/>
  <c r="AH36" i="7"/>
  <c r="AG29" i="7"/>
  <c r="U18" i="7" s="1"/>
  <c r="Y18" i="7" s="1"/>
  <c r="AD22" i="7"/>
  <c r="R17" i="7" s="1"/>
  <c r="X17" i="7" s="1"/>
  <c r="AK27" i="7"/>
  <c r="AI26" i="7"/>
  <c r="H140" i="22"/>
  <c r="H130" i="22"/>
  <c r="D139" i="22"/>
  <c r="D165" i="22"/>
  <c r="D155" i="22"/>
  <c r="D130" i="22"/>
  <c r="H100" i="22"/>
  <c r="AI274" i="7" l="1"/>
  <c r="AJ157" i="7"/>
  <c r="AO203" i="7"/>
  <c r="AN256" i="7"/>
  <c r="X330" i="7"/>
  <c r="AQ268" i="7"/>
  <c r="AJ170" i="7"/>
  <c r="AH170" i="7"/>
  <c r="AJ267" i="7"/>
  <c r="AH201" i="7"/>
  <c r="AI338" i="7"/>
  <c r="AR275" i="7"/>
  <c r="AK274" i="7"/>
  <c r="Q255" i="7"/>
  <c r="AH208" i="7"/>
  <c r="AI270" i="7"/>
  <c r="AQ211" i="7"/>
  <c r="R303" i="7"/>
  <c r="V303" i="7" s="1"/>
  <c r="AH274" i="7"/>
  <c r="AQ275" i="7"/>
  <c r="AK227" i="7"/>
  <c r="AI154" i="7"/>
  <c r="X195" i="7"/>
  <c r="AN330" i="7"/>
  <c r="AK170" i="7"/>
  <c r="AR154" i="7"/>
  <c r="AQ45" i="7"/>
  <c r="AH45" i="7"/>
  <c r="AR268" i="7"/>
  <c r="AQ204" i="7"/>
  <c r="AJ201" i="7"/>
  <c r="AQ338" i="7"/>
  <c r="AN195" i="7"/>
  <c r="AH267" i="7"/>
  <c r="P252" i="7"/>
  <c r="V252" i="7" s="1"/>
  <c r="AN162" i="7"/>
  <c r="AH260" i="7"/>
  <c r="AR108" i="7"/>
  <c r="AK154" i="7"/>
  <c r="AJ338" i="7"/>
  <c r="V100" i="7"/>
  <c r="AN257" i="7"/>
  <c r="AH286" i="7"/>
  <c r="AQ287" i="7"/>
  <c r="AK283" i="7"/>
  <c r="S248" i="7"/>
  <c r="AJ283" i="7"/>
  <c r="R248" i="7"/>
  <c r="AK322" i="7"/>
  <c r="S307" i="7"/>
  <c r="AO307" i="7" s="1"/>
  <c r="AQ325" i="7"/>
  <c r="T310" i="7"/>
  <c r="AN310" i="7" s="1"/>
  <c r="AJ322" i="7"/>
  <c r="R307" i="7"/>
  <c r="X307" i="7" s="1"/>
  <c r="AR284" i="7"/>
  <c r="X252" i="7"/>
  <c r="AJ325" i="7"/>
  <c r="V162" i="7"/>
  <c r="AQ271" i="7"/>
  <c r="AR325" i="7"/>
  <c r="AI325" i="7"/>
  <c r="AK325" i="7"/>
  <c r="V310" i="7"/>
  <c r="X311" i="7"/>
  <c r="AN311" i="7"/>
  <c r="V311" i="7"/>
  <c r="AN303" i="7"/>
  <c r="V306" i="7"/>
  <c r="X306" i="7"/>
  <c r="P307" i="7"/>
  <c r="AQ322" i="7"/>
  <c r="AI322" i="7"/>
  <c r="AH322" i="7"/>
  <c r="R251" i="7"/>
  <c r="X251" i="7" s="1"/>
  <c r="AQ261" i="7"/>
  <c r="P251" i="7"/>
  <c r="V259" i="7"/>
  <c r="AQ32" i="7"/>
  <c r="AJ29" i="7"/>
  <c r="V255" i="7"/>
  <c r="X255" i="7"/>
  <c r="AH283" i="7"/>
  <c r="AJ270" i="7"/>
  <c r="AH270" i="7"/>
  <c r="X259" i="7"/>
  <c r="AI283" i="7"/>
  <c r="AQ214" i="7"/>
  <c r="V203" i="7"/>
  <c r="AQ227" i="7"/>
  <c r="AN200" i="7"/>
  <c r="X192" i="7"/>
  <c r="V192" i="7"/>
  <c r="AN199" i="7"/>
  <c r="AR214" i="7"/>
  <c r="S199" i="7"/>
  <c r="V199" i="7"/>
  <c r="V200" i="7"/>
  <c r="AR227" i="7"/>
  <c r="AQ92" i="7"/>
  <c r="V219" i="7"/>
  <c r="AJ224" i="7"/>
  <c r="AN219" i="7"/>
  <c r="W100" i="7"/>
  <c r="AQ95" i="7"/>
  <c r="AK224" i="7"/>
  <c r="AR170" i="7"/>
  <c r="AI170" i="7"/>
  <c r="AO73" i="7"/>
  <c r="AQ85" i="7"/>
  <c r="AJ211" i="7"/>
  <c r="AH211" i="7"/>
  <c r="AK211" i="7"/>
  <c r="AI211" i="7"/>
  <c r="AI224" i="7"/>
  <c r="AH224" i="7"/>
  <c r="AJ147" i="7"/>
  <c r="AQ147" i="7"/>
  <c r="P142" i="7"/>
  <c r="AQ157" i="7"/>
  <c r="Q142" i="7"/>
  <c r="AR157" i="7"/>
  <c r="V135" i="7"/>
  <c r="AN135" i="7"/>
  <c r="P138" i="7"/>
  <c r="V138" i="7" s="1"/>
  <c r="AH147" i="7"/>
  <c r="AJ161" i="7"/>
  <c r="R143" i="7"/>
  <c r="AQ161" i="7"/>
  <c r="V21" i="7"/>
  <c r="AH32" i="7"/>
  <c r="S80" i="7"/>
  <c r="AO80" i="7" s="1"/>
  <c r="AR99" i="7"/>
  <c r="S81" i="7"/>
  <c r="AO81" i="7" s="1"/>
  <c r="AJ94" i="7"/>
  <c r="AH94" i="7"/>
  <c r="R81" i="7"/>
  <c r="AN81" i="7" s="1"/>
  <c r="AJ32" i="7"/>
  <c r="AI157" i="7"/>
  <c r="AN100" i="7"/>
  <c r="AH157" i="7"/>
  <c r="AH161" i="7"/>
  <c r="X76" i="7"/>
  <c r="AJ87" i="7"/>
  <c r="AR29" i="7"/>
  <c r="AR95" i="7"/>
  <c r="AN37" i="7"/>
  <c r="AJ82" i="7"/>
  <c r="V41" i="7"/>
  <c r="AQ29" i="7"/>
  <c r="AH29" i="7"/>
  <c r="R77" i="7"/>
  <c r="AN80" i="7"/>
  <c r="V80" i="7"/>
  <c r="AO77" i="7"/>
  <c r="AR92" i="7"/>
  <c r="AK87" i="7"/>
  <c r="AN14" i="7"/>
  <c r="AI94" i="7"/>
  <c r="V17" i="7"/>
  <c r="AK94" i="7"/>
  <c r="AH82" i="7"/>
  <c r="P76" i="7"/>
  <c r="AN76" i="7" s="1"/>
  <c r="AH103" i="7"/>
  <c r="AQ108" i="7"/>
  <c r="P73" i="7"/>
  <c r="X100" i="7"/>
  <c r="AI90" i="7"/>
  <c r="AK90" i="7"/>
  <c r="AJ90" i="7"/>
  <c r="AH90" i="7"/>
  <c r="AN17" i="7"/>
  <c r="AK29" i="7"/>
  <c r="AQ22" i="7"/>
  <c r="AJ22" i="7"/>
  <c r="AH22" i="7"/>
  <c r="AN13" i="7"/>
  <c r="AI29" i="7"/>
  <c r="AI27" i="7"/>
  <c r="G745" i="29"/>
  <c r="G747" i="29" s="1"/>
  <c r="F765" i="29"/>
  <c r="F767" i="29" s="1"/>
  <c r="G765" i="29"/>
  <c r="G767" i="29" s="1"/>
  <c r="H765" i="29"/>
  <c r="H767" i="29" s="1"/>
  <c r="I767" i="29"/>
  <c r="J765" i="29"/>
  <c r="J767" i="29" s="1"/>
  <c r="K765" i="29"/>
  <c r="K767" i="29" s="1"/>
  <c r="L765" i="29"/>
  <c r="L767" i="29" s="1"/>
  <c r="M765" i="29"/>
  <c r="M767" i="29" s="1"/>
  <c r="N765" i="29"/>
  <c r="N767" i="29" s="1"/>
  <c r="O765" i="29"/>
  <c r="O767" i="29" s="1"/>
  <c r="P765" i="29"/>
  <c r="P767" i="29" s="1"/>
  <c r="H360" i="29"/>
  <c r="H362" i="29" s="1"/>
  <c r="X303" i="7" l="1"/>
  <c r="X81" i="7"/>
  <c r="AN253" i="7"/>
  <c r="V81" i="7"/>
  <c r="AN252" i="7"/>
  <c r="V251" i="7"/>
  <c r="X310" i="7"/>
  <c r="V248" i="7"/>
  <c r="X248" i="7"/>
  <c r="AN249" i="7"/>
  <c r="AN138" i="7"/>
  <c r="AN307" i="7"/>
  <c r="V307" i="7"/>
  <c r="AN142" i="7"/>
  <c r="V142" i="7"/>
  <c r="X143" i="7"/>
  <c r="V143" i="7"/>
  <c r="AN143" i="7"/>
  <c r="V73" i="7"/>
  <c r="AN73" i="7"/>
  <c r="V77" i="7"/>
  <c r="AN77" i="7"/>
  <c r="X77" i="7"/>
  <c r="V76" i="7"/>
  <c r="V14" i="7"/>
  <c r="AN10" i="7"/>
  <c r="E367" i="29"/>
  <c r="E369" i="29" s="1"/>
  <c r="F367" i="29"/>
  <c r="F369" i="29" s="1"/>
  <c r="G367" i="29"/>
  <c r="G369" i="29" s="1"/>
  <c r="H367" i="29"/>
  <c r="H369" i="29" s="1"/>
  <c r="I369" i="29"/>
  <c r="J367" i="29"/>
  <c r="J369" i="29" s="1"/>
  <c r="K367" i="29"/>
  <c r="K369" i="29" s="1"/>
  <c r="L367" i="29"/>
  <c r="L369" i="29" s="1"/>
  <c r="M367" i="29"/>
  <c r="M369" i="29" s="1"/>
  <c r="N367" i="29"/>
  <c r="N369" i="29" s="1"/>
  <c r="O367" i="29"/>
  <c r="O369" i="29" s="1"/>
  <c r="P367" i="29"/>
  <c r="P369" i="29" s="1"/>
  <c r="K360" i="29"/>
  <c r="K362" i="29" s="1"/>
  <c r="F747" i="29" l="1"/>
  <c r="E758" i="29"/>
  <c r="E760" i="29" l="1"/>
  <c r="E775" i="29"/>
  <c r="E348" i="29"/>
  <c r="F348" i="29"/>
  <c r="F350" i="29" s="1"/>
  <c r="G348" i="29"/>
  <c r="G350" i="29" s="1"/>
  <c r="H348" i="29"/>
  <c r="H350" i="29" s="1"/>
  <c r="I348" i="29"/>
  <c r="I350" i="29" s="1"/>
  <c r="J348" i="29"/>
  <c r="J350" i="29" s="1"/>
  <c r="K348" i="29"/>
  <c r="K350" i="29" s="1"/>
  <c r="L348" i="29"/>
  <c r="L350" i="29" s="1"/>
  <c r="M348" i="29"/>
  <c r="M350" i="29" s="1"/>
  <c r="N350" i="29"/>
  <c r="O348" i="29"/>
  <c r="O350" i="29" s="1"/>
  <c r="P350" i="29"/>
  <c r="P758" i="29"/>
  <c r="P760" i="29" s="1"/>
  <c r="O758" i="29"/>
  <c r="O760" i="29" s="1"/>
  <c r="N758" i="29"/>
  <c r="N760" i="29" s="1"/>
  <c r="M758" i="29"/>
  <c r="M760" i="29" s="1"/>
  <c r="L758" i="29"/>
  <c r="L760" i="29" s="1"/>
  <c r="K758" i="29"/>
  <c r="J758" i="29"/>
  <c r="I760" i="29"/>
  <c r="H758" i="29"/>
  <c r="G758" i="29"/>
  <c r="G760" i="29" s="1"/>
  <c r="F758" i="29"/>
  <c r="F760" i="29" s="1"/>
  <c r="P745" i="29"/>
  <c r="P747" i="29" s="1"/>
  <c r="O745" i="29"/>
  <c r="O747" i="29" s="1"/>
  <c r="N745" i="29"/>
  <c r="N747" i="29" s="1"/>
  <c r="M745" i="29"/>
  <c r="M747" i="29" s="1"/>
  <c r="L745" i="29"/>
  <c r="L747" i="29" s="1"/>
  <c r="K745" i="29"/>
  <c r="K747" i="29" s="1"/>
  <c r="J745" i="29"/>
  <c r="J747" i="29" s="1"/>
  <c r="I745" i="29"/>
  <c r="I747" i="29" s="1"/>
  <c r="H745" i="29"/>
  <c r="H747" i="29" s="1"/>
  <c r="E745" i="29"/>
  <c r="E747" i="29" l="1"/>
  <c r="E771" i="29"/>
  <c r="E773" i="29" s="1"/>
  <c r="E779" i="29"/>
  <c r="E350" i="29"/>
  <c r="H775" i="29"/>
  <c r="H777" i="29" s="1"/>
  <c r="H760" i="29"/>
  <c r="J775" i="29"/>
  <c r="J777" i="29" s="1"/>
  <c r="J760" i="29"/>
  <c r="K775" i="29"/>
  <c r="K777" i="29" s="1"/>
  <c r="K760" i="29"/>
  <c r="N771" i="29"/>
  <c r="N773" i="29" s="1"/>
  <c r="M775" i="29"/>
  <c r="M777" i="29" s="1"/>
  <c r="O775" i="29"/>
  <c r="O777" i="29" s="1"/>
  <c r="E777" i="29"/>
  <c r="L775" i="29"/>
  <c r="L777" i="29" s="1"/>
  <c r="O779" i="29"/>
  <c r="O781" i="29" s="1"/>
  <c r="N779" i="29"/>
  <c r="N781" i="29" s="1"/>
  <c r="M779" i="29"/>
  <c r="M781" i="29" s="1"/>
  <c r="K779" i="29"/>
  <c r="K781" i="29" s="1"/>
  <c r="L779" i="29"/>
  <c r="L781" i="29" s="1"/>
  <c r="P775" i="29"/>
  <c r="P777" i="29" s="1"/>
  <c r="I779" i="29"/>
  <c r="I781" i="29" s="1"/>
  <c r="F775" i="29"/>
  <c r="F777" i="29" s="1"/>
  <c r="F771" i="29"/>
  <c r="F773" i="29" s="1"/>
  <c r="P771" i="29"/>
  <c r="P773" i="29" s="1"/>
  <c r="P779" i="29"/>
  <c r="P781" i="29" s="1"/>
  <c r="E781" i="29"/>
  <c r="F779" i="29"/>
  <c r="F781" i="29" s="1"/>
  <c r="G775" i="29"/>
  <c r="G777" i="29" s="1"/>
  <c r="I771" i="29"/>
  <c r="I773" i="29" s="1"/>
  <c r="I775" i="29"/>
  <c r="I777" i="29" s="1"/>
  <c r="G771" i="29"/>
  <c r="G773" i="29" s="1"/>
  <c r="H771" i="29"/>
  <c r="H773" i="29" s="1"/>
  <c r="J771" i="29"/>
  <c r="J773" i="29" s="1"/>
  <c r="J779" i="29"/>
  <c r="J781" i="29" s="1"/>
  <c r="G779" i="29"/>
  <c r="G781" i="29" s="1"/>
  <c r="H779" i="29"/>
  <c r="H781" i="29" s="1"/>
  <c r="K771" i="29"/>
  <c r="K773" i="29" s="1"/>
  <c r="L771" i="29"/>
  <c r="L773" i="29" s="1"/>
  <c r="M771" i="29"/>
  <c r="M773" i="29" s="1"/>
  <c r="N775" i="29"/>
  <c r="N777" i="29" s="1"/>
  <c r="O771" i="29"/>
  <c r="O773" i="29" s="1"/>
  <c r="P360" i="29"/>
  <c r="P362" i="29" s="1"/>
  <c r="O360" i="29"/>
  <c r="O362" i="29" s="1"/>
  <c r="N362" i="29"/>
  <c r="M360" i="29"/>
  <c r="M362" i="29" s="1"/>
  <c r="L360" i="29"/>
  <c r="L362" i="29" s="1"/>
  <c r="J360" i="29"/>
  <c r="J362" i="29" s="1"/>
  <c r="I360" i="29"/>
  <c r="I362" i="29" s="1"/>
  <c r="G360" i="29"/>
  <c r="G362" i="29" s="1"/>
  <c r="F360" i="29"/>
  <c r="F362" i="29" s="1"/>
  <c r="E360" i="29"/>
  <c r="E362" i="29" l="1"/>
  <c r="E377" i="29"/>
  <c r="E373" i="29"/>
  <c r="E381" i="29"/>
  <c r="E383" i="29" s="1"/>
  <c r="M377" i="29"/>
  <c r="M379" i="29" s="1"/>
  <c r="O377" i="29"/>
  <c r="O379" i="29" s="1"/>
  <c r="M381" i="29"/>
  <c r="M383" i="29" s="1"/>
  <c r="L381" i="29"/>
  <c r="L383" i="29" s="1"/>
  <c r="N377" i="29"/>
  <c r="N379" i="29" s="1"/>
  <c r="E379" i="29"/>
  <c r="I381" i="29"/>
  <c r="I383" i="29" s="1"/>
  <c r="I377" i="29"/>
  <c r="I379" i="29" s="1"/>
  <c r="K381" i="29"/>
  <c r="K383" i="29" s="1"/>
  <c r="N381" i="29"/>
  <c r="N383" i="29" s="1"/>
  <c r="O381" i="29"/>
  <c r="O383" i="29" s="1"/>
  <c r="P381" i="29"/>
  <c r="P383" i="29" s="1"/>
  <c r="F377" i="29"/>
  <c r="F379" i="29" s="1"/>
  <c r="L377" i="29"/>
  <c r="L379" i="29" s="1"/>
  <c r="F373" i="29"/>
  <c r="F375" i="29" s="1"/>
  <c r="P373" i="29"/>
  <c r="P375" i="29" s="1"/>
  <c r="J373" i="29"/>
  <c r="J375" i="29" s="1"/>
  <c r="J381" i="29"/>
  <c r="J383" i="29" s="1"/>
  <c r="P377" i="29"/>
  <c r="P379" i="29" s="1"/>
  <c r="E375" i="29"/>
  <c r="F381" i="29"/>
  <c r="F383" i="29" s="1"/>
  <c r="G373" i="29"/>
  <c r="G375" i="29" s="1"/>
  <c r="H373" i="29"/>
  <c r="H375" i="29" s="1"/>
  <c r="H377" i="29"/>
  <c r="H379" i="29" s="1"/>
  <c r="H381" i="29"/>
  <c r="H383" i="29" s="1"/>
  <c r="G377" i="29"/>
  <c r="G379" i="29" s="1"/>
  <c r="G381" i="29"/>
  <c r="G383" i="29" s="1"/>
  <c r="I373" i="29"/>
  <c r="I375" i="29" s="1"/>
  <c r="K373" i="29"/>
  <c r="K375" i="29" s="1"/>
  <c r="K377" i="29"/>
  <c r="K379" i="29" s="1"/>
  <c r="L373" i="29"/>
  <c r="L375" i="29" s="1"/>
  <c r="J377" i="29"/>
  <c r="J379" i="29" s="1"/>
  <c r="M373" i="29"/>
  <c r="M375" i="29" s="1"/>
  <c r="N373" i="29"/>
  <c r="N375" i="29" s="1"/>
  <c r="O373" i="29"/>
  <c r="O375" i="29" s="1"/>
  <c r="S166" i="7"/>
  <c r="AO166" i="7" s="1"/>
  <c r="P40" i="9" l="1"/>
  <c r="F733" i="14"/>
  <c r="F735" i="14" s="1"/>
  <c r="P42" i="9"/>
  <c r="H733" i="14"/>
  <c r="H735" i="14" s="1"/>
  <c r="P43" i="9" l="1"/>
  <c r="P41" i="9"/>
  <c r="P42" i="26"/>
  <c r="F753" i="14"/>
  <c r="E753" i="14"/>
  <c r="E755" i="14" s="1"/>
  <c r="G746" i="14"/>
  <c r="G748" i="14" s="1"/>
  <c r="F746" i="14"/>
  <c r="F748" i="14" s="1"/>
  <c r="P40" i="24"/>
  <c r="P41" i="24" l="1"/>
  <c r="P40" i="26"/>
  <c r="P42" i="24"/>
  <c r="P41" i="26"/>
  <c r="F755" i="14"/>
  <c r="G764" i="14"/>
  <c r="E764" i="14"/>
  <c r="E766" i="14" s="1"/>
  <c r="F764" i="14"/>
  <c r="H753" i="14"/>
  <c r="G760" i="14"/>
  <c r="P43" i="24"/>
  <c r="F760" i="14"/>
  <c r="E760" i="14"/>
  <c r="E762" i="14" s="1"/>
  <c r="I734" i="14"/>
  <c r="E768" i="14"/>
  <c r="E770" i="14" s="1"/>
  <c r="F768" i="14"/>
  <c r="G768" i="14"/>
  <c r="P42" i="27" l="1"/>
  <c r="G766" i="14"/>
  <c r="P40" i="27"/>
  <c r="P41" i="27"/>
  <c r="F766" i="14"/>
  <c r="P42" i="28"/>
  <c r="G770" i="14"/>
  <c r="P41" i="28"/>
  <c r="F770" i="14"/>
  <c r="P40" i="28"/>
  <c r="P40" i="25"/>
  <c r="P43" i="26"/>
  <c r="H755" i="14"/>
  <c r="P41" i="25"/>
  <c r="F762" i="14"/>
  <c r="P42" i="25"/>
  <c r="G762" i="14"/>
  <c r="I754" i="14"/>
  <c r="I747" i="14"/>
  <c r="H768" i="14"/>
  <c r="H770" i="14" s="1"/>
  <c r="H760" i="14"/>
  <c r="H762" i="14" s="1"/>
  <c r="H764" i="14"/>
  <c r="H766" i="14" s="1"/>
  <c r="P43" i="27" l="1"/>
  <c r="I761" i="14"/>
  <c r="P43" i="25"/>
  <c r="I769" i="14"/>
  <c r="P43" i="28"/>
  <c r="I765" i="14"/>
  <c r="J42" i="26" l="1"/>
  <c r="F366" i="14"/>
  <c r="E366" i="14"/>
  <c r="E368" i="14" s="1"/>
  <c r="J42" i="24"/>
  <c r="F359" i="14"/>
  <c r="E359" i="14"/>
  <c r="E361" i="14" s="1"/>
  <c r="J42" i="9"/>
  <c r="F347" i="14"/>
  <c r="F349" i="14" s="1"/>
  <c r="E347" i="14"/>
  <c r="E349" i="14" s="1"/>
  <c r="P697" i="29"/>
  <c r="P699" i="29" s="1"/>
  <c r="O697" i="29"/>
  <c r="O699" i="29" s="1"/>
  <c r="N697" i="29"/>
  <c r="N699" i="29" s="1"/>
  <c r="M697" i="29"/>
  <c r="M699" i="29" s="1"/>
  <c r="L697" i="29"/>
  <c r="L699" i="29" s="1"/>
  <c r="K699" i="29"/>
  <c r="J697" i="29"/>
  <c r="J699" i="29" s="1"/>
  <c r="I697" i="29"/>
  <c r="I699" i="29" s="1"/>
  <c r="H697" i="29"/>
  <c r="H699" i="29" s="1"/>
  <c r="G697" i="29"/>
  <c r="G699" i="29" s="1"/>
  <c r="F697" i="29"/>
  <c r="F699" i="29" s="1"/>
  <c r="E697" i="29"/>
  <c r="P685" i="29"/>
  <c r="P687" i="29" s="1"/>
  <c r="O685" i="29"/>
  <c r="O687" i="29" s="1"/>
  <c r="N685" i="29"/>
  <c r="N687" i="29" s="1"/>
  <c r="M685" i="29"/>
  <c r="M687" i="29" s="1"/>
  <c r="L685" i="29"/>
  <c r="L687" i="29" s="1"/>
  <c r="K687" i="29"/>
  <c r="J685" i="29"/>
  <c r="J687" i="29" s="1"/>
  <c r="I685" i="29"/>
  <c r="I687" i="29" s="1"/>
  <c r="H685" i="29"/>
  <c r="H687" i="29" s="1"/>
  <c r="G685" i="29"/>
  <c r="G687" i="29" s="1"/>
  <c r="F685" i="29"/>
  <c r="F687" i="29" s="1"/>
  <c r="E685" i="29"/>
  <c r="P651" i="29"/>
  <c r="P653" i="29" s="1"/>
  <c r="O651" i="29"/>
  <c r="O653" i="29" s="1"/>
  <c r="N651" i="29"/>
  <c r="N653" i="29" s="1"/>
  <c r="M651" i="29"/>
  <c r="M653" i="29" s="1"/>
  <c r="L653" i="29"/>
  <c r="K651" i="29"/>
  <c r="K653" i="29" s="1"/>
  <c r="J651" i="29"/>
  <c r="J653" i="29" s="1"/>
  <c r="I651" i="29"/>
  <c r="I653" i="29" s="1"/>
  <c r="H651" i="29"/>
  <c r="H653" i="29" s="1"/>
  <c r="G651" i="29"/>
  <c r="G653" i="29" s="1"/>
  <c r="F651" i="29"/>
  <c r="F653" i="29" s="1"/>
  <c r="E651" i="29"/>
  <c r="E653" i="29" s="1"/>
  <c r="P644" i="29"/>
  <c r="P646" i="29" s="1"/>
  <c r="O646" i="29"/>
  <c r="N644" i="29"/>
  <c r="N646" i="29" s="1"/>
  <c r="M644" i="29"/>
  <c r="M646" i="29" s="1"/>
  <c r="L644" i="29"/>
  <c r="L646" i="29" s="1"/>
  <c r="K644" i="29"/>
  <c r="K646" i="29" s="1"/>
  <c r="J644" i="29"/>
  <c r="J646" i="29" s="1"/>
  <c r="I644" i="29"/>
  <c r="I646" i="29" s="1"/>
  <c r="H644" i="29"/>
  <c r="H646" i="29" s="1"/>
  <c r="G644" i="29"/>
  <c r="G646" i="29" s="1"/>
  <c r="F644" i="29"/>
  <c r="F646" i="29" s="1"/>
  <c r="E644" i="29"/>
  <c r="P631" i="29"/>
  <c r="P633" i="29" s="1"/>
  <c r="O633" i="29"/>
  <c r="N631" i="29"/>
  <c r="N633" i="29" s="1"/>
  <c r="M631" i="29"/>
  <c r="M633" i="29" s="1"/>
  <c r="L631" i="29"/>
  <c r="L633" i="29" s="1"/>
  <c r="K631" i="29"/>
  <c r="K633" i="29" s="1"/>
  <c r="J631" i="29"/>
  <c r="J633" i="29" s="1"/>
  <c r="I631" i="29"/>
  <c r="I633" i="29" s="1"/>
  <c r="H631" i="29"/>
  <c r="H633" i="29" s="1"/>
  <c r="G631" i="29"/>
  <c r="G633" i="29" s="1"/>
  <c r="F631" i="29"/>
  <c r="F633" i="29" s="1"/>
  <c r="E631" i="29"/>
  <c r="P595" i="29"/>
  <c r="P597" i="29" s="1"/>
  <c r="O595" i="29"/>
  <c r="O597" i="29" s="1"/>
  <c r="N597" i="29"/>
  <c r="M595" i="29"/>
  <c r="M597" i="29" s="1"/>
  <c r="L595" i="29"/>
  <c r="L597" i="29" s="1"/>
  <c r="K597" i="29"/>
  <c r="J595" i="29"/>
  <c r="J597" i="29" s="1"/>
  <c r="I595" i="29"/>
  <c r="I597" i="29" s="1"/>
  <c r="H595" i="29"/>
  <c r="H597" i="29" s="1"/>
  <c r="G595" i="29"/>
  <c r="G597" i="29" s="1"/>
  <c r="F595" i="29"/>
  <c r="F597" i="29" s="1"/>
  <c r="E595" i="29"/>
  <c r="E597" i="29" s="1"/>
  <c r="P588" i="29"/>
  <c r="P590" i="29" s="1"/>
  <c r="O588" i="29"/>
  <c r="M590" i="29"/>
  <c r="L588" i="29"/>
  <c r="L590" i="29" s="1"/>
  <c r="K588" i="29"/>
  <c r="K590" i="29" s="1"/>
  <c r="J588" i="29"/>
  <c r="J590" i="29" s="1"/>
  <c r="I588" i="29"/>
  <c r="I590" i="29" s="1"/>
  <c r="H588" i="29"/>
  <c r="H590" i="29" s="1"/>
  <c r="G588" i="29"/>
  <c r="G590" i="29" s="1"/>
  <c r="F588" i="29"/>
  <c r="F590" i="29" s="1"/>
  <c r="E588" i="29"/>
  <c r="P577" i="29"/>
  <c r="P579" i="29" s="1"/>
  <c r="O577" i="29"/>
  <c r="O579" i="29" s="1"/>
  <c r="N577" i="29"/>
  <c r="N579" i="29" s="1"/>
  <c r="M579" i="29"/>
  <c r="L577" i="29"/>
  <c r="L579" i="29" s="1"/>
  <c r="K577" i="29"/>
  <c r="K579" i="29" s="1"/>
  <c r="J577" i="29"/>
  <c r="J579" i="29" s="1"/>
  <c r="I577" i="29"/>
  <c r="I579" i="29" s="1"/>
  <c r="H579" i="29"/>
  <c r="G577" i="29"/>
  <c r="G579" i="29" s="1"/>
  <c r="F577" i="29"/>
  <c r="F579" i="29" s="1"/>
  <c r="E577" i="29"/>
  <c r="P541" i="29"/>
  <c r="P543" i="29" s="1"/>
  <c r="O541" i="29"/>
  <c r="O543" i="29" s="1"/>
  <c r="N541" i="29"/>
  <c r="N543" i="29" s="1"/>
  <c r="M541" i="29"/>
  <c r="M543" i="29" s="1"/>
  <c r="L541" i="29"/>
  <c r="L543" i="29" s="1"/>
  <c r="K541" i="29"/>
  <c r="K543" i="29" s="1"/>
  <c r="J541" i="29"/>
  <c r="J543" i="29" s="1"/>
  <c r="I541" i="29"/>
  <c r="I543" i="29" s="1"/>
  <c r="H543" i="29"/>
  <c r="G541" i="29"/>
  <c r="G543" i="29" s="1"/>
  <c r="F541" i="29"/>
  <c r="F543" i="29" s="1"/>
  <c r="E541" i="29"/>
  <c r="P534" i="29"/>
  <c r="P536" i="29" s="1"/>
  <c r="O534" i="29"/>
  <c r="O536" i="29" s="1"/>
  <c r="N534" i="29"/>
  <c r="N536" i="29" s="1"/>
  <c r="M534" i="29"/>
  <c r="M536" i="29" s="1"/>
  <c r="L534" i="29"/>
  <c r="L536" i="29" s="1"/>
  <c r="K534" i="29"/>
  <c r="K536" i="29" s="1"/>
  <c r="J534" i="29"/>
  <c r="J536" i="29" s="1"/>
  <c r="I534" i="29"/>
  <c r="I536" i="29" s="1"/>
  <c r="H536" i="29"/>
  <c r="G534" i="29"/>
  <c r="G536" i="29" s="1"/>
  <c r="F534" i="29"/>
  <c r="F536" i="29" s="1"/>
  <c r="E534" i="29"/>
  <c r="P522" i="29"/>
  <c r="P524" i="29" s="1"/>
  <c r="O522" i="29"/>
  <c r="O524" i="29" s="1"/>
  <c r="N522" i="29"/>
  <c r="N524" i="29" s="1"/>
  <c r="M522" i="29"/>
  <c r="M524" i="29" s="1"/>
  <c r="L522" i="29"/>
  <c r="L524" i="29" s="1"/>
  <c r="K522" i="29"/>
  <c r="K524" i="29" s="1"/>
  <c r="J522" i="29"/>
  <c r="J524" i="29" s="1"/>
  <c r="I522" i="29"/>
  <c r="I524" i="29" s="1"/>
  <c r="H522" i="29"/>
  <c r="H524" i="29" s="1"/>
  <c r="G522" i="29"/>
  <c r="G524" i="29" s="1"/>
  <c r="F522" i="29"/>
  <c r="F524" i="29" s="1"/>
  <c r="E524" i="29"/>
  <c r="P487" i="29"/>
  <c r="P489" i="29" s="1"/>
  <c r="O489" i="29"/>
  <c r="N487" i="29"/>
  <c r="M487" i="29"/>
  <c r="M489" i="29" s="1"/>
  <c r="L487" i="29"/>
  <c r="L489" i="29" s="1"/>
  <c r="K487" i="29"/>
  <c r="K489" i="29" s="1"/>
  <c r="J489" i="29"/>
  <c r="I487" i="29"/>
  <c r="I489" i="29" s="1"/>
  <c r="H487" i="29"/>
  <c r="H489" i="29" s="1"/>
  <c r="G487" i="29"/>
  <c r="G489" i="29" s="1"/>
  <c r="F487" i="29"/>
  <c r="F489" i="29" s="1"/>
  <c r="E489" i="29"/>
  <c r="P481" i="29"/>
  <c r="P483" i="29" s="1"/>
  <c r="O481" i="29"/>
  <c r="N481" i="29"/>
  <c r="M483" i="29"/>
  <c r="L481" i="29"/>
  <c r="L483" i="29" s="1"/>
  <c r="K481" i="29"/>
  <c r="K483" i="29" s="1"/>
  <c r="J481" i="29"/>
  <c r="J483" i="29" s="1"/>
  <c r="I481" i="29"/>
  <c r="I483" i="29" s="1"/>
  <c r="H481" i="29"/>
  <c r="H483" i="29" s="1"/>
  <c r="G481" i="29"/>
  <c r="G483" i="29" s="1"/>
  <c r="F483" i="29"/>
  <c r="E481" i="29"/>
  <c r="P470" i="29"/>
  <c r="P472" i="29" s="1"/>
  <c r="O470" i="29"/>
  <c r="N470" i="29"/>
  <c r="N472" i="29" s="1"/>
  <c r="M470" i="29"/>
  <c r="M472" i="29" s="1"/>
  <c r="L470" i="29"/>
  <c r="L472" i="29" s="1"/>
  <c r="K470" i="29"/>
  <c r="K472" i="29" s="1"/>
  <c r="J472" i="29"/>
  <c r="I470" i="29"/>
  <c r="I472" i="29" s="1"/>
  <c r="H470" i="29"/>
  <c r="H472" i="29" s="1"/>
  <c r="G470" i="29"/>
  <c r="G472" i="29" s="1"/>
  <c r="F470" i="29"/>
  <c r="F472" i="29" s="1"/>
  <c r="E470" i="29"/>
  <c r="P311" i="29"/>
  <c r="P313" i="29" s="1"/>
  <c r="O311" i="29"/>
  <c r="O313" i="29" s="1"/>
  <c r="N311" i="29"/>
  <c r="N313" i="29" s="1"/>
  <c r="M311" i="29"/>
  <c r="M313" i="29" s="1"/>
  <c r="L311" i="29"/>
  <c r="L313" i="29" s="1"/>
  <c r="K311" i="29"/>
  <c r="K313" i="29" s="1"/>
  <c r="J311" i="29"/>
  <c r="J313" i="29" s="1"/>
  <c r="I311" i="29"/>
  <c r="I313" i="29" s="1"/>
  <c r="H311" i="29"/>
  <c r="H313" i="29" s="1"/>
  <c r="G311" i="29"/>
  <c r="G313" i="29" s="1"/>
  <c r="F311" i="29"/>
  <c r="F313" i="29" s="1"/>
  <c r="E311" i="29"/>
  <c r="E313" i="29" s="1"/>
  <c r="P304" i="29"/>
  <c r="P306" i="29" s="1"/>
  <c r="O304" i="29"/>
  <c r="O306" i="29" s="1"/>
  <c r="N304" i="29"/>
  <c r="N306" i="29" s="1"/>
  <c r="M304" i="29"/>
  <c r="M306" i="29" s="1"/>
  <c r="L304" i="29"/>
  <c r="L306" i="29" s="1"/>
  <c r="K304" i="29"/>
  <c r="K306" i="29" s="1"/>
  <c r="J304" i="29"/>
  <c r="J306" i="29" s="1"/>
  <c r="I304" i="29"/>
  <c r="I306" i="29" s="1"/>
  <c r="H304" i="29"/>
  <c r="H306" i="29" s="1"/>
  <c r="G304" i="29"/>
  <c r="G306" i="29" s="1"/>
  <c r="F304" i="29"/>
  <c r="F306" i="29" s="1"/>
  <c r="E304" i="29"/>
  <c r="P291" i="29"/>
  <c r="P293" i="29" s="1"/>
  <c r="O291" i="29"/>
  <c r="O293" i="29" s="1"/>
  <c r="N291" i="29"/>
  <c r="N293" i="29" s="1"/>
  <c r="M291" i="29"/>
  <c r="M293" i="29" s="1"/>
  <c r="L291" i="29"/>
  <c r="L293" i="29" s="1"/>
  <c r="K291" i="29"/>
  <c r="K293" i="29" s="1"/>
  <c r="J291" i="29"/>
  <c r="J293" i="29" s="1"/>
  <c r="I291" i="29"/>
  <c r="I293" i="29" s="1"/>
  <c r="H293" i="29"/>
  <c r="G291" i="29"/>
  <c r="G293" i="29" s="1"/>
  <c r="F291" i="29"/>
  <c r="F293" i="29" s="1"/>
  <c r="E291" i="29"/>
  <c r="P259" i="29"/>
  <c r="P261" i="29" s="1"/>
  <c r="O259" i="29"/>
  <c r="O261" i="29" s="1"/>
  <c r="N259" i="29"/>
  <c r="N261" i="29" s="1"/>
  <c r="M259" i="29"/>
  <c r="M261" i="29" s="1"/>
  <c r="L259" i="29"/>
  <c r="L261" i="29" s="1"/>
  <c r="K259" i="29"/>
  <c r="K261" i="29" s="1"/>
  <c r="J259" i="29"/>
  <c r="J261" i="29" s="1"/>
  <c r="I259" i="29"/>
  <c r="I261" i="29" s="1"/>
  <c r="H259" i="29"/>
  <c r="H261" i="29" s="1"/>
  <c r="G259" i="29"/>
  <c r="G261" i="29" s="1"/>
  <c r="F259" i="29"/>
  <c r="F261" i="29" s="1"/>
  <c r="E259" i="29"/>
  <c r="E261" i="29" s="1"/>
  <c r="P252" i="29"/>
  <c r="P254" i="29" s="1"/>
  <c r="O252" i="29"/>
  <c r="N252" i="29"/>
  <c r="N254" i="29" s="1"/>
  <c r="M252" i="29"/>
  <c r="M254" i="29" s="1"/>
  <c r="L252" i="29"/>
  <c r="L254" i="29" s="1"/>
  <c r="K252" i="29"/>
  <c r="K254" i="29" s="1"/>
  <c r="J252" i="29"/>
  <c r="J254" i="29" s="1"/>
  <c r="I252" i="29"/>
  <c r="I254" i="29" s="1"/>
  <c r="H252" i="29"/>
  <c r="H254" i="29" s="1"/>
  <c r="G252" i="29"/>
  <c r="G254" i="29" s="1"/>
  <c r="F252" i="29"/>
  <c r="F254" i="29" s="1"/>
  <c r="E252" i="29"/>
  <c r="P241" i="29"/>
  <c r="P243" i="29" s="1"/>
  <c r="O241" i="29"/>
  <c r="O243" i="29" s="1"/>
  <c r="N241" i="29"/>
  <c r="N243" i="29" s="1"/>
  <c r="M241" i="29"/>
  <c r="M243" i="29" s="1"/>
  <c r="L241" i="29"/>
  <c r="L243" i="29" s="1"/>
  <c r="K241" i="29"/>
  <c r="K243" i="29" s="1"/>
  <c r="J243" i="29"/>
  <c r="I241" i="29"/>
  <c r="I243" i="29" s="1"/>
  <c r="H243" i="29"/>
  <c r="G241" i="29"/>
  <c r="G243" i="29" s="1"/>
  <c r="F241" i="29"/>
  <c r="F243" i="29" s="1"/>
  <c r="E241" i="29"/>
  <c r="P206" i="29"/>
  <c r="P208" i="29" s="1"/>
  <c r="O208" i="29"/>
  <c r="N206" i="29"/>
  <c r="N208" i="29" s="1"/>
  <c r="M206" i="29"/>
  <c r="M208" i="29" s="1"/>
  <c r="L206" i="29"/>
  <c r="L208" i="29" s="1"/>
  <c r="K206" i="29"/>
  <c r="K208" i="29" s="1"/>
  <c r="J206" i="29"/>
  <c r="J208" i="29" s="1"/>
  <c r="I206" i="29"/>
  <c r="I208" i="29" s="1"/>
  <c r="H206" i="29"/>
  <c r="H208" i="29" s="1"/>
  <c r="G206" i="29"/>
  <c r="G208" i="29" s="1"/>
  <c r="F206" i="29"/>
  <c r="F208" i="29" s="1"/>
  <c r="E206" i="29"/>
  <c r="E208" i="29" s="1"/>
  <c r="P198" i="29"/>
  <c r="O198" i="29"/>
  <c r="O200" i="29" s="1"/>
  <c r="N198" i="29"/>
  <c r="M198" i="29"/>
  <c r="M200" i="29" s="1"/>
  <c r="L198" i="29"/>
  <c r="L200" i="29" s="1"/>
  <c r="K198" i="29"/>
  <c r="K200" i="29" s="1"/>
  <c r="J198" i="29"/>
  <c r="J200" i="29" s="1"/>
  <c r="I198" i="29"/>
  <c r="I200" i="29" s="1"/>
  <c r="H198" i="29"/>
  <c r="H200" i="29" s="1"/>
  <c r="G198" i="29"/>
  <c r="G200" i="29" s="1"/>
  <c r="E198" i="29"/>
  <c r="P186" i="29"/>
  <c r="P188" i="29" s="1"/>
  <c r="O186" i="29"/>
  <c r="O188" i="29" s="1"/>
  <c r="N186" i="29"/>
  <c r="N188" i="29" s="1"/>
  <c r="M186" i="29"/>
  <c r="M188" i="29" s="1"/>
  <c r="L188" i="29"/>
  <c r="K186" i="29"/>
  <c r="K188" i="29" s="1"/>
  <c r="J186" i="29"/>
  <c r="J188" i="29" s="1"/>
  <c r="I186" i="29"/>
  <c r="H186" i="29"/>
  <c r="H188" i="29" s="1"/>
  <c r="G186" i="29"/>
  <c r="F186" i="29"/>
  <c r="F188" i="29" s="1"/>
  <c r="E186" i="29"/>
  <c r="P150" i="29"/>
  <c r="P152" i="29" s="1"/>
  <c r="O150" i="29"/>
  <c r="O152" i="29" s="1"/>
  <c r="N150" i="29"/>
  <c r="N152" i="29" s="1"/>
  <c r="M150" i="29"/>
  <c r="M152" i="29" s="1"/>
  <c r="L150" i="29"/>
  <c r="L152" i="29" s="1"/>
  <c r="K150" i="29"/>
  <c r="K152" i="29" s="1"/>
  <c r="J150" i="29"/>
  <c r="J152" i="29" s="1"/>
  <c r="I150" i="29"/>
  <c r="I152" i="29" s="1"/>
  <c r="H150" i="29"/>
  <c r="H152" i="29" s="1"/>
  <c r="G150" i="29"/>
  <c r="G152" i="29" s="1"/>
  <c r="F150" i="29"/>
  <c r="F152" i="29" s="1"/>
  <c r="E150" i="29"/>
  <c r="P143" i="29"/>
  <c r="P145" i="29" s="1"/>
  <c r="O143" i="29"/>
  <c r="O145" i="29" s="1"/>
  <c r="N143" i="29"/>
  <c r="N145" i="29" s="1"/>
  <c r="M143" i="29"/>
  <c r="M145" i="29" s="1"/>
  <c r="L143" i="29"/>
  <c r="L145" i="29" s="1"/>
  <c r="K143" i="29"/>
  <c r="K145" i="29" s="1"/>
  <c r="J143" i="29"/>
  <c r="J145" i="29" s="1"/>
  <c r="I143" i="29"/>
  <c r="I145" i="29" s="1"/>
  <c r="H143" i="29"/>
  <c r="H145" i="29" s="1"/>
  <c r="G143" i="29"/>
  <c r="G145" i="29" s="1"/>
  <c r="F143" i="29"/>
  <c r="E143" i="29"/>
  <c r="P132" i="29"/>
  <c r="P134" i="29" s="1"/>
  <c r="O132" i="29"/>
  <c r="O134" i="29" s="1"/>
  <c r="N134" i="29"/>
  <c r="M132" i="29"/>
  <c r="M134" i="29" s="1"/>
  <c r="L132" i="29"/>
  <c r="L134" i="29" s="1"/>
  <c r="K132" i="29"/>
  <c r="K134" i="29" s="1"/>
  <c r="J132" i="29"/>
  <c r="J134" i="29" s="1"/>
  <c r="I134" i="29"/>
  <c r="H132" i="29"/>
  <c r="H134" i="29" s="1"/>
  <c r="G132" i="29"/>
  <c r="G134" i="29" s="1"/>
  <c r="F132" i="29"/>
  <c r="F134" i="29" s="1"/>
  <c r="E132" i="29"/>
  <c r="P97" i="29"/>
  <c r="N97" i="29"/>
  <c r="M97" i="29"/>
  <c r="L97" i="29"/>
  <c r="K97" i="29"/>
  <c r="J97" i="29"/>
  <c r="I97" i="29"/>
  <c r="H97" i="29"/>
  <c r="G97" i="29"/>
  <c r="F97" i="29"/>
  <c r="P88" i="29"/>
  <c r="O88" i="29"/>
  <c r="N90" i="29"/>
  <c r="M88" i="29"/>
  <c r="M90" i="29" s="1"/>
  <c r="L88" i="29"/>
  <c r="L90" i="29" s="1"/>
  <c r="K88" i="29"/>
  <c r="K90" i="29" s="1"/>
  <c r="J88" i="29"/>
  <c r="J90" i="29" s="1"/>
  <c r="I88" i="29"/>
  <c r="I90" i="29" s="1"/>
  <c r="H88" i="29"/>
  <c r="H90" i="29" s="1"/>
  <c r="G88" i="29"/>
  <c r="G90" i="29" s="1"/>
  <c r="F88" i="29"/>
  <c r="F90" i="29" s="1"/>
  <c r="E88" i="29"/>
  <c r="P77" i="29"/>
  <c r="O77" i="29"/>
  <c r="O79" i="29" s="1"/>
  <c r="N77" i="29"/>
  <c r="N79" i="29" s="1"/>
  <c r="M77" i="29"/>
  <c r="M79" i="29" s="1"/>
  <c r="L79" i="29"/>
  <c r="K77" i="29"/>
  <c r="K79" i="29" s="1"/>
  <c r="J77" i="29"/>
  <c r="J79" i="29" s="1"/>
  <c r="I77" i="29"/>
  <c r="I79" i="29" s="1"/>
  <c r="H77" i="29"/>
  <c r="H79" i="29" s="1"/>
  <c r="G77" i="29"/>
  <c r="G79" i="29" s="1"/>
  <c r="F77" i="29"/>
  <c r="F79" i="29" s="1"/>
  <c r="E77" i="29"/>
  <c r="O42" i="26"/>
  <c r="F696" i="14"/>
  <c r="F698" i="14" s="1"/>
  <c r="E696" i="14"/>
  <c r="E698" i="14" s="1"/>
  <c r="F689" i="14"/>
  <c r="F691" i="14" s="1"/>
  <c r="E689" i="14"/>
  <c r="E691" i="14" s="1"/>
  <c r="O42" i="9"/>
  <c r="F677" i="14"/>
  <c r="E677" i="14"/>
  <c r="N42" i="26"/>
  <c r="F643" i="14"/>
  <c r="E643" i="14"/>
  <c r="E645" i="14" s="1"/>
  <c r="N42" i="24"/>
  <c r="F636" i="14"/>
  <c r="F638" i="14" s="1"/>
  <c r="E636" i="14"/>
  <c r="E638" i="14" s="1"/>
  <c r="N42" i="9"/>
  <c r="F623" i="14"/>
  <c r="F625" i="14" s="1"/>
  <c r="E623" i="14"/>
  <c r="E625" i="14" s="1"/>
  <c r="F588" i="14"/>
  <c r="F590" i="14" s="1"/>
  <c r="E588" i="14"/>
  <c r="E590" i="14" s="1"/>
  <c r="F581" i="14"/>
  <c r="F583" i="14" s="1"/>
  <c r="E581" i="14"/>
  <c r="M42" i="9"/>
  <c r="F570" i="14"/>
  <c r="E570" i="14"/>
  <c r="L42" i="26"/>
  <c r="F534" i="14"/>
  <c r="F536" i="14" s="1"/>
  <c r="E534" i="14"/>
  <c r="E536" i="14" s="1"/>
  <c r="L42" i="24"/>
  <c r="F527" i="14"/>
  <c r="E527" i="14"/>
  <c r="G515" i="14"/>
  <c r="F515" i="14"/>
  <c r="E515" i="14"/>
  <c r="G479" i="14"/>
  <c r="G481" i="14" s="1"/>
  <c r="F479" i="14"/>
  <c r="F481" i="14" s="1"/>
  <c r="E479" i="14"/>
  <c r="E481" i="14" s="1"/>
  <c r="H479" i="14"/>
  <c r="H481" i="14" s="1"/>
  <c r="G473" i="14"/>
  <c r="F473" i="14"/>
  <c r="E473" i="14"/>
  <c r="K42" i="9"/>
  <c r="F462" i="14"/>
  <c r="E462" i="14"/>
  <c r="H311" i="14"/>
  <c r="F311" i="14"/>
  <c r="F313" i="14" s="1"/>
  <c r="E311" i="14"/>
  <c r="E313" i="14" s="1"/>
  <c r="F304" i="14"/>
  <c r="F306" i="14" s="1"/>
  <c r="E304" i="14"/>
  <c r="E306" i="14" s="1"/>
  <c r="I42" i="9"/>
  <c r="F291" i="14"/>
  <c r="E291" i="14"/>
  <c r="G256" i="14"/>
  <c r="F256" i="14"/>
  <c r="E256" i="14"/>
  <c r="H42" i="24"/>
  <c r="F249" i="14"/>
  <c r="E249" i="14"/>
  <c r="H42" i="9"/>
  <c r="F238" i="14"/>
  <c r="E238" i="14"/>
  <c r="G42" i="26"/>
  <c r="F204" i="14"/>
  <c r="F206" i="14" s="1"/>
  <c r="E204" i="14"/>
  <c r="E206" i="14" s="1"/>
  <c r="F196" i="14"/>
  <c r="F198" i="14" s="1"/>
  <c r="E196" i="14"/>
  <c r="E198" i="14" s="1"/>
  <c r="G184" i="14"/>
  <c r="G186" i="14" s="1"/>
  <c r="F184" i="14"/>
  <c r="F186" i="14" s="1"/>
  <c r="E184" i="14"/>
  <c r="E186" i="14" s="1"/>
  <c r="G146" i="14"/>
  <c r="G148" i="14" s="1"/>
  <c r="F146" i="14"/>
  <c r="F148" i="14" s="1"/>
  <c r="E146" i="14"/>
  <c r="E148" i="14" s="1"/>
  <c r="F139" i="14"/>
  <c r="F141" i="14" s="1"/>
  <c r="E139" i="14"/>
  <c r="E141" i="14" s="1"/>
  <c r="F42" i="9"/>
  <c r="F128" i="14"/>
  <c r="F130" i="14" s="1"/>
  <c r="E128" i="14"/>
  <c r="E130" i="14" s="1"/>
  <c r="F94" i="14"/>
  <c r="E94" i="14"/>
  <c r="F85" i="14"/>
  <c r="F87" i="14" s="1"/>
  <c r="E85" i="14"/>
  <c r="E87" i="14" s="1"/>
  <c r="H85" i="14"/>
  <c r="H87" i="14" s="1"/>
  <c r="G74" i="14"/>
  <c r="G76" i="14" s="1"/>
  <c r="E41" i="9"/>
  <c r="E74" i="14"/>
  <c r="E76" i="14" s="1"/>
  <c r="E318" i="14" l="1"/>
  <c r="E633" i="29"/>
  <c r="E664" i="29"/>
  <c r="E656" i="29"/>
  <c r="E658" i="29" s="1"/>
  <c r="E646" i="29"/>
  <c r="E660" i="29"/>
  <c r="E687" i="29"/>
  <c r="E710" i="29"/>
  <c r="E712" i="29" s="1"/>
  <c r="E718" i="29"/>
  <c r="E699" i="29"/>
  <c r="E714" i="29"/>
  <c r="E863" i="29"/>
  <c r="E864" i="29" s="1"/>
  <c r="E472" i="29"/>
  <c r="E795" i="29"/>
  <c r="E796" i="29" s="1"/>
  <c r="E500" i="29"/>
  <c r="E492" i="29"/>
  <c r="E494" i="29" s="1"/>
  <c r="E483" i="29"/>
  <c r="E804" i="29"/>
  <c r="E496" i="29"/>
  <c r="E536" i="29"/>
  <c r="E555" i="29"/>
  <c r="E551" i="29"/>
  <c r="E547" i="29"/>
  <c r="E549" i="29" s="1"/>
  <c r="E543" i="29"/>
  <c r="E813" i="29"/>
  <c r="E579" i="29"/>
  <c r="E609" i="29"/>
  <c r="E601" i="29"/>
  <c r="E590" i="29"/>
  <c r="E605" i="29"/>
  <c r="E854" i="29"/>
  <c r="E855" i="29" s="1"/>
  <c r="L41" i="24"/>
  <c r="F529" i="14"/>
  <c r="K41" i="24"/>
  <c r="F475" i="14"/>
  <c r="K42" i="24"/>
  <c r="G475" i="14"/>
  <c r="M40" i="9"/>
  <c r="E572" i="14"/>
  <c r="M41" i="9"/>
  <c r="F572" i="14"/>
  <c r="L40" i="9"/>
  <c r="E517" i="14"/>
  <c r="M40" i="24"/>
  <c r="E583" i="14"/>
  <c r="K40" i="24"/>
  <c r="E475" i="14"/>
  <c r="L41" i="9"/>
  <c r="F517" i="14"/>
  <c r="O40" i="9"/>
  <c r="E679" i="14"/>
  <c r="K40" i="9"/>
  <c r="E464" i="14"/>
  <c r="L42" i="9"/>
  <c r="G517" i="14"/>
  <c r="O41" i="9"/>
  <c r="F679" i="14"/>
  <c r="K41" i="9"/>
  <c r="F464" i="14"/>
  <c r="L40" i="24"/>
  <c r="E529" i="14"/>
  <c r="E872" i="29"/>
  <c r="O40" i="26"/>
  <c r="O41" i="26"/>
  <c r="N41" i="9"/>
  <c r="N40" i="24"/>
  <c r="N41" i="24"/>
  <c r="N40" i="26"/>
  <c r="N41" i="26"/>
  <c r="F645" i="14"/>
  <c r="N40" i="9"/>
  <c r="M41" i="26"/>
  <c r="M40" i="26"/>
  <c r="L41" i="26"/>
  <c r="L40" i="26"/>
  <c r="I41" i="9"/>
  <c r="F293" i="14"/>
  <c r="I40" i="9"/>
  <c r="E293" i="14"/>
  <c r="I312" i="14"/>
  <c r="H313" i="14"/>
  <c r="K40" i="26"/>
  <c r="K41" i="26"/>
  <c r="J40" i="24"/>
  <c r="J41" i="9"/>
  <c r="J41" i="24"/>
  <c r="F361" i="14"/>
  <c r="J40" i="9"/>
  <c r="J40" i="26"/>
  <c r="J41" i="26"/>
  <c r="F368" i="14"/>
  <c r="H41" i="26"/>
  <c r="F258" i="14"/>
  <c r="H42" i="26"/>
  <c r="G258" i="14"/>
  <c r="H40" i="9"/>
  <c r="E240" i="14"/>
  <c r="H41" i="9"/>
  <c r="F240" i="14"/>
  <c r="H40" i="24"/>
  <c r="E251" i="14"/>
  <c r="H41" i="24"/>
  <c r="F251" i="14"/>
  <c r="H40" i="26"/>
  <c r="E258" i="14"/>
  <c r="G40" i="9"/>
  <c r="G41" i="9"/>
  <c r="G40" i="26"/>
  <c r="G41" i="26"/>
  <c r="F41" i="9"/>
  <c r="F40" i="9"/>
  <c r="E40" i="9"/>
  <c r="E42" i="9"/>
  <c r="E188" i="29"/>
  <c r="E218" i="29"/>
  <c r="E212" i="29"/>
  <c r="E214" i="29" s="1"/>
  <c r="E79" i="29"/>
  <c r="E402" i="29"/>
  <c r="E403" i="29" s="1"/>
  <c r="E100" i="29"/>
  <c r="E107" i="29"/>
  <c r="E90" i="29"/>
  <c r="E103" i="29"/>
  <c r="E411" i="29"/>
  <c r="E412" i="29" s="1"/>
  <c r="E134" i="29"/>
  <c r="E164" i="29"/>
  <c r="E166" i="29" s="1"/>
  <c r="E156" i="29"/>
  <c r="E200" i="29"/>
  <c r="E215" i="29"/>
  <c r="E217" i="29" s="1"/>
  <c r="E145" i="29"/>
  <c r="E160" i="29"/>
  <c r="E152" i="29"/>
  <c r="E420" i="29"/>
  <c r="E421" i="29" s="1"/>
  <c r="E243" i="29"/>
  <c r="E271" i="29"/>
  <c r="E273" i="29" s="1"/>
  <c r="E264" i="29"/>
  <c r="E254" i="29"/>
  <c r="E267" i="29"/>
  <c r="E269" i="29" s="1"/>
  <c r="E293" i="29"/>
  <c r="E317" i="29"/>
  <c r="E325" i="29"/>
  <c r="E327" i="29" s="1"/>
  <c r="E306" i="29"/>
  <c r="E321" i="29"/>
  <c r="E323" i="29" s="1"/>
  <c r="O804" i="29"/>
  <c r="O805" i="29" s="1"/>
  <c r="O483" i="29"/>
  <c r="N489" i="29"/>
  <c r="N605" i="29"/>
  <c r="N607" i="29" s="1"/>
  <c r="N590" i="29"/>
  <c r="O795" i="29"/>
  <c r="O796" i="29" s="1"/>
  <c r="O472" i="29"/>
  <c r="O605" i="29"/>
  <c r="O607" i="29" s="1"/>
  <c r="O590" i="29"/>
  <c r="N804" i="29"/>
  <c r="N805" i="29" s="1"/>
  <c r="N483" i="29"/>
  <c r="O267" i="29"/>
  <c r="O269" i="29" s="1"/>
  <c r="O254" i="29"/>
  <c r="N215" i="29"/>
  <c r="N217" i="29" s="1"/>
  <c r="N200" i="29"/>
  <c r="P215" i="29"/>
  <c r="P217" i="29" s="1"/>
  <c r="P200" i="29"/>
  <c r="O271" i="29"/>
  <c r="O273" i="29" s="1"/>
  <c r="G212" i="29"/>
  <c r="G214" i="29" s="1"/>
  <c r="G188" i="29"/>
  <c r="F215" i="29"/>
  <c r="F217" i="29" s="1"/>
  <c r="F200" i="29"/>
  <c r="I212" i="29"/>
  <c r="I214" i="29" s="1"/>
  <c r="I188" i="29"/>
  <c r="P863" i="29"/>
  <c r="P864" i="29" s="1"/>
  <c r="P90" i="29"/>
  <c r="O97" i="29"/>
  <c r="F804" i="29"/>
  <c r="F805" i="29" s="1"/>
  <c r="F160" i="29"/>
  <c r="F162" i="29" s="1"/>
  <c r="F145" i="29"/>
  <c r="J795" i="29"/>
  <c r="J796" i="29" s="1"/>
  <c r="P854" i="29"/>
  <c r="P855" i="29" s="1"/>
  <c r="P79" i="29"/>
  <c r="O863" i="29"/>
  <c r="O864" i="29" s="1"/>
  <c r="O90" i="29"/>
  <c r="M804" i="29"/>
  <c r="M805" i="29" s="1"/>
  <c r="N795" i="29"/>
  <c r="N796" i="29" s="1"/>
  <c r="M660" i="29"/>
  <c r="M662" i="29" s="1"/>
  <c r="F267" i="29"/>
  <c r="F269" i="29" s="1"/>
  <c r="F854" i="29"/>
  <c r="F855" i="29" s="1"/>
  <c r="H605" i="29"/>
  <c r="H607" i="29" s="1"/>
  <c r="H854" i="29"/>
  <c r="H855" i="29" s="1"/>
  <c r="G863" i="29"/>
  <c r="G864" i="29" s="1"/>
  <c r="P804" i="29"/>
  <c r="P805" i="29" s="1"/>
  <c r="K854" i="29"/>
  <c r="K855" i="29" s="1"/>
  <c r="J863" i="29"/>
  <c r="J864" i="29" s="1"/>
  <c r="M605" i="29"/>
  <c r="M607" i="29" s="1"/>
  <c r="M863" i="29"/>
  <c r="M864" i="29" s="1"/>
  <c r="M795" i="29"/>
  <c r="M796" i="29" s="1"/>
  <c r="I804" i="29"/>
  <c r="I805" i="29" s="1"/>
  <c r="J267" i="29"/>
  <c r="J269" i="29" s="1"/>
  <c r="L804" i="29"/>
  <c r="L805" i="29" s="1"/>
  <c r="G710" i="29"/>
  <c r="G712" i="29" s="1"/>
  <c r="J218" i="29"/>
  <c r="J220" i="29" s="1"/>
  <c r="J215" i="29"/>
  <c r="J217" i="29" s="1"/>
  <c r="F863" i="29"/>
  <c r="F864" i="29" s="1"/>
  <c r="I854" i="29"/>
  <c r="I855" i="29" s="1"/>
  <c r="E805" i="29"/>
  <c r="I863" i="29"/>
  <c r="I864" i="29" s="1"/>
  <c r="K863" i="29"/>
  <c r="K864" i="29" s="1"/>
  <c r="M854" i="29"/>
  <c r="M855" i="29" s="1"/>
  <c r="L863" i="29"/>
  <c r="L864" i="29" s="1"/>
  <c r="K795" i="29"/>
  <c r="K796" i="29" s="1"/>
  <c r="J804" i="29"/>
  <c r="J805" i="29" s="1"/>
  <c r="O854" i="29"/>
  <c r="O855" i="29" s="1"/>
  <c r="K804" i="29"/>
  <c r="K805" i="29" s="1"/>
  <c r="L854" i="29"/>
  <c r="L855" i="29" s="1"/>
  <c r="N854" i="29"/>
  <c r="N855" i="29" s="1"/>
  <c r="G854" i="29"/>
  <c r="G855" i="29" s="1"/>
  <c r="P420" i="29"/>
  <c r="P421" i="29" s="1"/>
  <c r="P492" i="29"/>
  <c r="P494" i="29" s="1"/>
  <c r="P795" i="29"/>
  <c r="P796" i="29" s="1"/>
  <c r="F420" i="29"/>
  <c r="F421" i="29" s="1"/>
  <c r="H103" i="29"/>
  <c r="H105" i="29" s="1"/>
  <c r="H863" i="29"/>
  <c r="H864" i="29" s="1"/>
  <c r="F795" i="29"/>
  <c r="F796" i="29" s="1"/>
  <c r="J100" i="29"/>
  <c r="J102" i="29" s="1"/>
  <c r="J854" i="29"/>
  <c r="J855" i="29" s="1"/>
  <c r="G795" i="29"/>
  <c r="G796" i="29" s="1"/>
  <c r="H795" i="29"/>
  <c r="H796" i="29" s="1"/>
  <c r="G804" i="29"/>
  <c r="G805" i="29" s="1"/>
  <c r="I795" i="29"/>
  <c r="I796" i="29" s="1"/>
  <c r="H804" i="29"/>
  <c r="H805" i="29" s="1"/>
  <c r="N103" i="29"/>
  <c r="N105" i="29" s="1"/>
  <c r="N863" i="29"/>
  <c r="N864" i="29" s="1"/>
  <c r="L492" i="29"/>
  <c r="L494" i="29" s="1"/>
  <c r="L795" i="29"/>
  <c r="L796" i="29" s="1"/>
  <c r="N420" i="29"/>
  <c r="N421" i="29" s="1"/>
  <c r="O156" i="29"/>
  <c r="O158" i="29" s="1"/>
  <c r="K215" i="29"/>
  <c r="K217" i="29" s="1"/>
  <c r="I264" i="29"/>
  <c r="I266" i="29" s="1"/>
  <c r="N492" i="29"/>
  <c r="N494" i="29" s="1"/>
  <c r="G402" i="29"/>
  <c r="G403" i="29" s="1"/>
  <c r="L420" i="29"/>
  <c r="L421" i="29" s="1"/>
  <c r="O420" i="29"/>
  <c r="O421" i="29" s="1"/>
  <c r="O660" i="29"/>
  <c r="O662" i="29" s="1"/>
  <c r="M267" i="29"/>
  <c r="M269" i="29" s="1"/>
  <c r="M420" i="29"/>
  <c r="M421" i="29" s="1"/>
  <c r="K267" i="29"/>
  <c r="K269" i="29" s="1"/>
  <c r="K420" i="29"/>
  <c r="K421" i="29" s="1"/>
  <c r="J420" i="29"/>
  <c r="J421" i="29" s="1"/>
  <c r="I420" i="29"/>
  <c r="I421" i="29" s="1"/>
  <c r="H420" i="29"/>
  <c r="H421" i="29" s="1"/>
  <c r="H267" i="29"/>
  <c r="H269" i="29" s="1"/>
  <c r="G271" i="29"/>
  <c r="G273" i="29" s="1"/>
  <c r="G420" i="29"/>
  <c r="G421" i="29" s="1"/>
  <c r="K496" i="29"/>
  <c r="K498" i="29" s="1"/>
  <c r="I496" i="29"/>
  <c r="I498" i="29" s="1"/>
  <c r="G107" i="29"/>
  <c r="G109" i="29" s="1"/>
  <c r="G103" i="29"/>
  <c r="G105" i="29" s="1"/>
  <c r="J411" i="29"/>
  <c r="J412" i="29" s="1"/>
  <c r="J551" i="29"/>
  <c r="J553" i="29" s="1"/>
  <c r="I551" i="29"/>
  <c r="I553" i="29" s="1"/>
  <c r="G601" i="29"/>
  <c r="G603" i="29" s="1"/>
  <c r="P402" i="29"/>
  <c r="P403" i="29" s="1"/>
  <c r="N402" i="29"/>
  <c r="N403" i="29" s="1"/>
  <c r="L402" i="29"/>
  <c r="L403" i="29" s="1"/>
  <c r="L215" i="29"/>
  <c r="L217" i="29" s="1"/>
  <c r="L212" i="29"/>
  <c r="L214" i="29" s="1"/>
  <c r="P156" i="29"/>
  <c r="P158" i="29" s="1"/>
  <c r="N156" i="29"/>
  <c r="N158" i="29" s="1"/>
  <c r="N411" i="29"/>
  <c r="N412" i="29" s="1"/>
  <c r="L164" i="29"/>
  <c r="L166" i="29" s="1"/>
  <c r="M402" i="29"/>
  <c r="M403" i="29" s="1"/>
  <c r="J402" i="29"/>
  <c r="J403" i="29" s="1"/>
  <c r="L411" i="29"/>
  <c r="L412" i="29" s="1"/>
  <c r="P317" i="29"/>
  <c r="P319" i="29" s="1"/>
  <c r="O402" i="29"/>
  <c r="O403" i="29" s="1"/>
  <c r="K402" i="29"/>
  <c r="K403" i="29" s="1"/>
  <c r="I402" i="29"/>
  <c r="I403" i="29" s="1"/>
  <c r="H402" i="29"/>
  <c r="H403" i="29" s="1"/>
  <c r="F402" i="29"/>
  <c r="F403" i="29" s="1"/>
  <c r="F861" i="14"/>
  <c r="J858" i="14" s="1"/>
  <c r="E861" i="14"/>
  <c r="J857" i="14" s="1"/>
  <c r="G211" i="14"/>
  <c r="G42" i="9"/>
  <c r="K43" i="26"/>
  <c r="K42" i="26"/>
  <c r="G861" i="14"/>
  <c r="J859" i="14" s="1"/>
  <c r="H411" i="29"/>
  <c r="H412" i="29" s="1"/>
  <c r="I411" i="29"/>
  <c r="I412" i="29" s="1"/>
  <c r="K411" i="29"/>
  <c r="K412" i="29" s="1"/>
  <c r="M411" i="29"/>
  <c r="M412" i="29" s="1"/>
  <c r="O321" i="29"/>
  <c r="O323" i="29" s="1"/>
  <c r="O411" i="29"/>
  <c r="O412" i="29" s="1"/>
  <c r="G321" i="29"/>
  <c r="G323" i="29" s="1"/>
  <c r="G411" i="29"/>
  <c r="G412" i="29" s="1"/>
  <c r="P411" i="29"/>
  <c r="P412" i="29" s="1"/>
  <c r="G325" i="29"/>
  <c r="G327" i="29" s="1"/>
  <c r="F411" i="29"/>
  <c r="F412" i="29" s="1"/>
  <c r="O664" i="29"/>
  <c r="O666" i="29" s="1"/>
  <c r="K656" i="29"/>
  <c r="K658" i="29" s="1"/>
  <c r="N325" i="29"/>
  <c r="N327" i="29" s="1"/>
  <c r="E266" i="29"/>
  <c r="L160" i="29"/>
  <c r="L162" i="29" s="1"/>
  <c r="E162" i="29"/>
  <c r="F164" i="29"/>
  <c r="F166" i="29" s="1"/>
  <c r="M551" i="29"/>
  <c r="M553" i="29" s="1"/>
  <c r="J605" i="29"/>
  <c r="J607" i="29" s="1"/>
  <c r="G605" i="29"/>
  <c r="G607" i="29" s="1"/>
  <c r="J164" i="29"/>
  <c r="J166" i="29" s="1"/>
  <c r="I160" i="29"/>
  <c r="I162" i="29" s="1"/>
  <c r="I215" i="29"/>
  <c r="I217" i="29" s="1"/>
  <c r="P555" i="29"/>
  <c r="P557" i="29" s="1"/>
  <c r="M609" i="29"/>
  <c r="M611" i="29" s="1"/>
  <c r="K156" i="29"/>
  <c r="K158" i="29" s="1"/>
  <c r="J160" i="29"/>
  <c r="J162" i="29" s="1"/>
  <c r="O215" i="29"/>
  <c r="O217" i="29" s="1"/>
  <c r="G218" i="29"/>
  <c r="G220" i="29" s="1"/>
  <c r="E102" i="29"/>
  <c r="O218" i="29"/>
  <c r="O220" i="29" s="1"/>
  <c r="I218" i="29"/>
  <c r="I220" i="29" s="1"/>
  <c r="G264" i="29"/>
  <c r="G266" i="29" s="1"/>
  <c r="L218" i="29"/>
  <c r="L220" i="29" s="1"/>
  <c r="L264" i="29"/>
  <c r="L266" i="29" s="1"/>
  <c r="O164" i="29"/>
  <c r="O166" i="29" s="1"/>
  <c r="N160" i="29"/>
  <c r="N162" i="29" s="1"/>
  <c r="H218" i="29"/>
  <c r="H220" i="29" s="1"/>
  <c r="N264" i="29"/>
  <c r="N266" i="29" s="1"/>
  <c r="N317" i="29"/>
  <c r="N319" i="29" s="1"/>
  <c r="P271" i="29"/>
  <c r="P273" i="29" s="1"/>
  <c r="M218" i="29"/>
  <c r="M220" i="29" s="1"/>
  <c r="I267" i="29"/>
  <c r="I269" i="29" s="1"/>
  <c r="G156" i="29"/>
  <c r="G158" i="29" s="1"/>
  <c r="F271" i="29"/>
  <c r="F273" i="29" s="1"/>
  <c r="L271" i="29"/>
  <c r="L273" i="29" s="1"/>
  <c r="P267" i="29"/>
  <c r="P269" i="29" s="1"/>
  <c r="M325" i="29"/>
  <c r="M327" i="29" s="1"/>
  <c r="O212" i="29"/>
  <c r="O214" i="29" s="1"/>
  <c r="I164" i="29"/>
  <c r="I166" i="29" s="1"/>
  <c r="H164" i="29"/>
  <c r="H166" i="29" s="1"/>
  <c r="G164" i="29"/>
  <c r="G166" i="29" s="1"/>
  <c r="M215" i="29"/>
  <c r="M217" i="29" s="1"/>
  <c r="N271" i="29"/>
  <c r="N273" i="29" s="1"/>
  <c r="J496" i="29"/>
  <c r="J498" i="29" s="1"/>
  <c r="I605" i="29"/>
  <c r="I607" i="29" s="1"/>
  <c r="N660" i="29"/>
  <c r="N662" i="29" s="1"/>
  <c r="F551" i="29"/>
  <c r="F553" i="29" s="1"/>
  <c r="P547" i="29"/>
  <c r="P549" i="29" s="1"/>
  <c r="P551" i="29"/>
  <c r="P553" i="29" s="1"/>
  <c r="K555" i="29"/>
  <c r="K557" i="29" s="1"/>
  <c r="G660" i="29"/>
  <c r="G662" i="29" s="1"/>
  <c r="L555" i="29"/>
  <c r="L557" i="29" s="1"/>
  <c r="K551" i="29"/>
  <c r="K553" i="29" s="1"/>
  <c r="P605" i="29"/>
  <c r="P607" i="29" s="1"/>
  <c r="G492" i="29"/>
  <c r="G494" i="29" s="1"/>
  <c r="M555" i="29"/>
  <c r="M557" i="29" s="1"/>
  <c r="L551" i="29"/>
  <c r="L553" i="29" s="1"/>
  <c r="N664" i="29"/>
  <c r="N666" i="29" s="1"/>
  <c r="L660" i="29"/>
  <c r="L662" i="29" s="1"/>
  <c r="H710" i="29"/>
  <c r="H712" i="29" s="1"/>
  <c r="L321" i="29"/>
  <c r="L323" i="29" s="1"/>
  <c r="I325" i="29"/>
  <c r="I327" i="29" s="1"/>
  <c r="M317" i="29"/>
  <c r="M319" i="29" s="1"/>
  <c r="J555" i="29"/>
  <c r="J557" i="29" s="1"/>
  <c r="H551" i="29"/>
  <c r="H553" i="29" s="1"/>
  <c r="N547" i="29"/>
  <c r="N549" i="29" s="1"/>
  <c r="J664" i="29"/>
  <c r="J666" i="29" s="1"/>
  <c r="P664" i="29"/>
  <c r="P666" i="29" s="1"/>
  <c r="K664" i="29"/>
  <c r="K666" i="29" s="1"/>
  <c r="K321" i="29"/>
  <c r="K323" i="29" s="1"/>
  <c r="O555" i="29"/>
  <c r="O557" i="29" s="1"/>
  <c r="K601" i="29"/>
  <c r="K603" i="29" s="1"/>
  <c r="H656" i="29"/>
  <c r="H658" i="29" s="1"/>
  <c r="M321" i="29"/>
  <c r="M323" i="29" s="1"/>
  <c r="G496" i="29"/>
  <c r="G498" i="29" s="1"/>
  <c r="L601" i="29"/>
  <c r="L603" i="29" s="1"/>
  <c r="M601" i="29"/>
  <c r="M603" i="29" s="1"/>
  <c r="I656" i="29"/>
  <c r="I658" i="29" s="1"/>
  <c r="J325" i="29"/>
  <c r="J327" i="29" s="1"/>
  <c r="P321" i="29"/>
  <c r="P323" i="29" s="1"/>
  <c r="E611" i="29"/>
  <c r="P656" i="29"/>
  <c r="P658" i="29" s="1"/>
  <c r="K325" i="29"/>
  <c r="K327" i="29" s="1"/>
  <c r="F609" i="29"/>
  <c r="F611" i="29" s="1"/>
  <c r="N555" i="29"/>
  <c r="N557" i="29" s="1"/>
  <c r="G609" i="29"/>
  <c r="G611" i="29" s="1"/>
  <c r="F664" i="29"/>
  <c r="F666" i="29" s="1"/>
  <c r="M710" i="29"/>
  <c r="M712" i="29" s="1"/>
  <c r="F321" i="29"/>
  <c r="F323" i="29" s="1"/>
  <c r="P325" i="29"/>
  <c r="P327" i="29" s="1"/>
  <c r="H609" i="29"/>
  <c r="H611" i="29" s="1"/>
  <c r="G664" i="29"/>
  <c r="G666" i="29" s="1"/>
  <c r="I660" i="29"/>
  <c r="I662" i="29" s="1"/>
  <c r="J321" i="29"/>
  <c r="J323" i="29" s="1"/>
  <c r="I317" i="29"/>
  <c r="I319" i="29" s="1"/>
  <c r="H555" i="29"/>
  <c r="H557" i="29" s="1"/>
  <c r="I609" i="29"/>
  <c r="I611" i="29" s="1"/>
  <c r="E607" i="29"/>
  <c r="E666" i="29"/>
  <c r="J660" i="29"/>
  <c r="J662" i="29" s="1"/>
  <c r="H321" i="29"/>
  <c r="H323" i="29" s="1"/>
  <c r="K317" i="29"/>
  <c r="K319" i="29" s="1"/>
  <c r="I555" i="29"/>
  <c r="I557" i="29" s="1"/>
  <c r="G551" i="29"/>
  <c r="G553" i="29" s="1"/>
  <c r="J609" i="29"/>
  <c r="J611" i="29" s="1"/>
  <c r="F605" i="29"/>
  <c r="F607" i="29" s="1"/>
  <c r="F660" i="29"/>
  <c r="F662" i="29" s="1"/>
  <c r="I664" i="29"/>
  <c r="I666" i="29" s="1"/>
  <c r="E792" i="14"/>
  <c r="H347" i="14"/>
  <c r="H349" i="14" s="1"/>
  <c r="H128" i="14"/>
  <c r="H130" i="14" s="1"/>
  <c r="E654" i="14"/>
  <c r="E656" i="14" s="1"/>
  <c r="F792" i="14"/>
  <c r="G792" i="14"/>
  <c r="G267" i="14"/>
  <c r="F215" i="14"/>
  <c r="G490" i="14"/>
  <c r="G492" i="14" s="1"/>
  <c r="G801" i="14"/>
  <c r="F801" i="14"/>
  <c r="E801" i="14"/>
  <c r="F703" i="14"/>
  <c r="G852" i="14"/>
  <c r="J850" i="14" s="1"/>
  <c r="F153" i="14"/>
  <c r="F852" i="14"/>
  <c r="J849" i="14" s="1"/>
  <c r="E852" i="14"/>
  <c r="J848" i="14" s="1"/>
  <c r="G843" i="14"/>
  <c r="J841" i="14" s="1"/>
  <c r="G783" i="14"/>
  <c r="J781" i="14" s="1"/>
  <c r="F783" i="14"/>
  <c r="F843" i="14"/>
  <c r="J840" i="14" s="1"/>
  <c r="E843" i="14"/>
  <c r="J839" i="14" s="1"/>
  <c r="E783" i="14"/>
  <c r="F263" i="14"/>
  <c r="G707" i="14"/>
  <c r="G711" i="14"/>
  <c r="E707" i="14"/>
  <c r="E416" i="14"/>
  <c r="F595" i="14"/>
  <c r="E541" i="14"/>
  <c r="E703" i="14"/>
  <c r="G541" i="14"/>
  <c r="E545" i="14"/>
  <c r="F486" i="14"/>
  <c r="F650" i="14"/>
  <c r="G650" i="14"/>
  <c r="E658" i="14"/>
  <c r="E660" i="14" s="1"/>
  <c r="F318" i="14"/>
  <c r="G318" i="14"/>
  <c r="G416" i="14"/>
  <c r="E263" i="14"/>
  <c r="F398" i="14"/>
  <c r="J395" i="14" s="1"/>
  <c r="H677" i="14"/>
  <c r="H679" i="14" s="1"/>
  <c r="E603" i="14"/>
  <c r="H643" i="14"/>
  <c r="H645" i="14" s="1"/>
  <c r="H238" i="14"/>
  <c r="G263" i="14"/>
  <c r="E211" i="14"/>
  <c r="G545" i="14"/>
  <c r="F599" i="14"/>
  <c r="F490" i="14"/>
  <c r="F492" i="14" s="1"/>
  <c r="H196" i="14"/>
  <c r="H534" i="14"/>
  <c r="H536" i="14" s="1"/>
  <c r="G599" i="14"/>
  <c r="E398" i="14"/>
  <c r="J394" i="14" s="1"/>
  <c r="G398" i="14"/>
  <c r="J396" i="14" s="1"/>
  <c r="E153" i="14"/>
  <c r="E155" i="14" s="1"/>
  <c r="F211" i="14"/>
  <c r="E599" i="14"/>
  <c r="E407" i="14"/>
  <c r="F654" i="14"/>
  <c r="E381" i="14"/>
  <c r="E383" i="14" s="1"/>
  <c r="F407" i="14"/>
  <c r="H139" i="14"/>
  <c r="H141" i="14" s="1"/>
  <c r="F541" i="14"/>
  <c r="G407" i="14"/>
  <c r="J405" i="14" s="1"/>
  <c r="E267" i="14"/>
  <c r="F267" i="14"/>
  <c r="K43" i="24"/>
  <c r="H581" i="14"/>
  <c r="H636" i="14"/>
  <c r="H638" i="14" s="1"/>
  <c r="F416" i="14"/>
  <c r="J413" i="14" s="1"/>
  <c r="G153" i="14"/>
  <c r="G155" i="14" s="1"/>
  <c r="H249" i="14"/>
  <c r="H251" i="14" s="1"/>
  <c r="G43" i="9"/>
  <c r="G271" i="14"/>
  <c r="K43" i="9"/>
  <c r="H623" i="14"/>
  <c r="H625" i="14" s="1"/>
  <c r="E219" i="14"/>
  <c r="H304" i="14"/>
  <c r="H322" i="14" s="1"/>
  <c r="I323" i="14" s="1"/>
  <c r="H588" i="14"/>
  <c r="H590" i="14" s="1"/>
  <c r="H366" i="14"/>
  <c r="H368" i="14" s="1"/>
  <c r="F373" i="14"/>
  <c r="G373" i="14"/>
  <c r="G377" i="14"/>
  <c r="E373" i="14"/>
  <c r="E375" i="14" s="1"/>
  <c r="F381" i="14"/>
  <c r="E377" i="14"/>
  <c r="E379" i="14" s="1"/>
  <c r="F377" i="14"/>
  <c r="G381" i="14"/>
  <c r="G486" i="14"/>
  <c r="H527" i="14"/>
  <c r="G703" i="14"/>
  <c r="G595" i="14"/>
  <c r="F658" i="14"/>
  <c r="G654" i="14"/>
  <c r="G658" i="14"/>
  <c r="H570" i="14"/>
  <c r="H572" i="14" s="1"/>
  <c r="F707" i="14"/>
  <c r="E490" i="14"/>
  <c r="F545" i="14"/>
  <c r="G603" i="14"/>
  <c r="H696" i="14"/>
  <c r="H698" i="14" s="1"/>
  <c r="I690" i="14"/>
  <c r="E322" i="14"/>
  <c r="F322" i="14"/>
  <c r="H291" i="14"/>
  <c r="E326" i="14"/>
  <c r="H204" i="14"/>
  <c r="H206" i="14" s="1"/>
  <c r="G219" i="14"/>
  <c r="G157" i="14"/>
  <c r="F157" i="14"/>
  <c r="I147" i="14"/>
  <c r="E161" i="14"/>
  <c r="F100" i="14"/>
  <c r="E100" i="14"/>
  <c r="E102" i="14" s="1"/>
  <c r="G104" i="14"/>
  <c r="G100" i="14"/>
  <c r="H74" i="14"/>
  <c r="H76" i="14" s="1"/>
  <c r="O103" i="29"/>
  <c r="O105" i="29" s="1"/>
  <c r="P100" i="29"/>
  <c r="P102" i="29" s="1"/>
  <c r="P103" i="29"/>
  <c r="P105" i="29" s="1"/>
  <c r="P107" i="29"/>
  <c r="P109" i="29" s="1"/>
  <c r="M156" i="29"/>
  <c r="M158" i="29" s="1"/>
  <c r="M160" i="29"/>
  <c r="M162" i="29" s="1"/>
  <c r="M164" i="29"/>
  <c r="M166" i="29" s="1"/>
  <c r="P218" i="29"/>
  <c r="P220" i="29" s="1"/>
  <c r="H271" i="29"/>
  <c r="H273" i="29" s="1"/>
  <c r="H264" i="29"/>
  <c r="H266" i="29" s="1"/>
  <c r="G267" i="29"/>
  <c r="G269" i="29" s="1"/>
  <c r="I271" i="29"/>
  <c r="I273" i="29" s="1"/>
  <c r="H325" i="29"/>
  <c r="H327" i="29" s="1"/>
  <c r="H317" i="29"/>
  <c r="H319" i="29" s="1"/>
  <c r="N321" i="29"/>
  <c r="N323" i="29" s="1"/>
  <c r="F492" i="29"/>
  <c r="F494" i="29" s="1"/>
  <c r="F500" i="29"/>
  <c r="F502" i="29" s="1"/>
  <c r="F100" i="29"/>
  <c r="F102" i="29" s="1"/>
  <c r="F103" i="29"/>
  <c r="F105" i="29" s="1"/>
  <c r="F107" i="29"/>
  <c r="F109" i="29" s="1"/>
  <c r="O160" i="29"/>
  <c r="O162" i="29" s="1"/>
  <c r="P164" i="29"/>
  <c r="P166" i="29" s="1"/>
  <c r="F218" i="29"/>
  <c r="F220" i="29" s="1"/>
  <c r="F212" i="29"/>
  <c r="F214" i="29" s="1"/>
  <c r="J271" i="29"/>
  <c r="J273" i="29" s="1"/>
  <c r="P264" i="29"/>
  <c r="P266" i="29" s="1"/>
  <c r="L267" i="29"/>
  <c r="L269" i="29" s="1"/>
  <c r="E498" i="29"/>
  <c r="E502" i="29"/>
  <c r="G500" i="29"/>
  <c r="G502" i="29" s="1"/>
  <c r="G100" i="29"/>
  <c r="G102" i="29" s="1"/>
  <c r="P160" i="29"/>
  <c r="P162" i="29" s="1"/>
  <c r="K271" i="29"/>
  <c r="K273" i="29" s="1"/>
  <c r="K264" i="29"/>
  <c r="K266" i="29" s="1"/>
  <c r="N267" i="29"/>
  <c r="N269" i="29" s="1"/>
  <c r="I500" i="29"/>
  <c r="I502" i="29" s="1"/>
  <c r="I492" i="29"/>
  <c r="I494" i="29" s="1"/>
  <c r="H100" i="29"/>
  <c r="H102" i="29" s="1"/>
  <c r="H107" i="29"/>
  <c r="H109" i="29" s="1"/>
  <c r="E158" i="29"/>
  <c r="H212" i="29"/>
  <c r="H214" i="29" s="1"/>
  <c r="L325" i="29"/>
  <c r="L327" i="29" s="1"/>
  <c r="I100" i="29"/>
  <c r="I102" i="29" s="1"/>
  <c r="I103" i="29"/>
  <c r="I105" i="29" s="1"/>
  <c r="I107" i="29"/>
  <c r="I109" i="29" s="1"/>
  <c r="F156" i="29"/>
  <c r="F158" i="29" s="1"/>
  <c r="G215" i="29"/>
  <c r="G217" i="29" s="1"/>
  <c r="M271" i="29"/>
  <c r="M273" i="29" s="1"/>
  <c r="H496" i="29"/>
  <c r="H498" i="29" s="1"/>
  <c r="H660" i="29"/>
  <c r="H662" i="29" s="1"/>
  <c r="H664" i="29"/>
  <c r="H666" i="29" s="1"/>
  <c r="J103" i="29"/>
  <c r="J105" i="29" s="1"/>
  <c r="J107" i="29"/>
  <c r="J109" i="29" s="1"/>
  <c r="G160" i="29"/>
  <c r="G162" i="29" s="1"/>
  <c r="J212" i="29"/>
  <c r="J214" i="29" s="1"/>
  <c r="H215" i="29"/>
  <c r="H217" i="29" s="1"/>
  <c r="E220" i="29"/>
  <c r="K100" i="29"/>
  <c r="K102" i="29" s="1"/>
  <c r="H156" i="29"/>
  <c r="H158" i="29" s="1"/>
  <c r="H160" i="29"/>
  <c r="H162" i="29" s="1"/>
  <c r="K218" i="29"/>
  <c r="K220" i="29" s="1"/>
  <c r="K212" i="29"/>
  <c r="K214" i="29" s="1"/>
  <c r="E557" i="29"/>
  <c r="E553" i="29"/>
  <c r="K103" i="29"/>
  <c r="K105" i="29" s="1"/>
  <c r="K107" i="29"/>
  <c r="K109" i="29" s="1"/>
  <c r="O325" i="29"/>
  <c r="O327" i="29" s="1"/>
  <c r="O317" i="29"/>
  <c r="O319" i="29" s="1"/>
  <c r="L100" i="29"/>
  <c r="L102" i="29" s="1"/>
  <c r="L103" i="29"/>
  <c r="L105" i="29" s="1"/>
  <c r="L107" i="29"/>
  <c r="L109" i="29" s="1"/>
  <c r="I156" i="29"/>
  <c r="I158" i="29" s="1"/>
  <c r="M100" i="29"/>
  <c r="M102" i="29" s="1"/>
  <c r="M103" i="29"/>
  <c r="M105" i="29" s="1"/>
  <c r="M107" i="29"/>
  <c r="M109" i="29" s="1"/>
  <c r="J156" i="29"/>
  <c r="J158" i="29" s="1"/>
  <c r="F264" i="29"/>
  <c r="F266" i="29" s="1"/>
  <c r="N100" i="29"/>
  <c r="N102" i="29" s="1"/>
  <c r="N107" i="29"/>
  <c r="N109" i="29" s="1"/>
  <c r="K160" i="29"/>
  <c r="K162" i="29" s="1"/>
  <c r="K164" i="29"/>
  <c r="K166" i="29" s="1"/>
  <c r="N218" i="29"/>
  <c r="N220" i="29" s="1"/>
  <c r="N212" i="29"/>
  <c r="N214" i="29" s="1"/>
  <c r="F325" i="29"/>
  <c r="F327" i="29" s="1"/>
  <c r="F317" i="29"/>
  <c r="F319" i="29" s="1"/>
  <c r="O100" i="29"/>
  <c r="O102" i="29" s="1"/>
  <c r="O107" i="29"/>
  <c r="O109" i="29" s="1"/>
  <c r="N164" i="29"/>
  <c r="N166" i="29" s="1"/>
  <c r="L156" i="29"/>
  <c r="L158" i="29" s="1"/>
  <c r="E319" i="29"/>
  <c r="J500" i="29"/>
  <c r="J502" i="29" s="1"/>
  <c r="H492" i="29"/>
  <c r="H494" i="29" s="1"/>
  <c r="N601" i="29"/>
  <c r="N603" i="29" s="1"/>
  <c r="K660" i="29"/>
  <c r="K662" i="29" s="1"/>
  <c r="K500" i="29"/>
  <c r="K502" i="29" s="1"/>
  <c r="K609" i="29"/>
  <c r="K611" i="29" s="1"/>
  <c r="M212" i="29"/>
  <c r="M214" i="29" s="1"/>
  <c r="J264" i="29"/>
  <c r="J266" i="29" s="1"/>
  <c r="G317" i="29"/>
  <c r="G319" i="29" s="1"/>
  <c r="L500" i="29"/>
  <c r="L502" i="29" s="1"/>
  <c r="J492" i="29"/>
  <c r="J494" i="29" s="1"/>
  <c r="N551" i="29"/>
  <c r="N553" i="29" s="1"/>
  <c r="L609" i="29"/>
  <c r="L611" i="29" s="1"/>
  <c r="J656" i="29"/>
  <c r="J658" i="29" s="1"/>
  <c r="M500" i="29"/>
  <c r="M502" i="29" s="1"/>
  <c r="L496" i="29"/>
  <c r="L498" i="29" s="1"/>
  <c r="K492" i="29"/>
  <c r="K494" i="29" s="1"/>
  <c r="O551" i="29"/>
  <c r="O553" i="29" s="1"/>
  <c r="I321" i="29"/>
  <c r="I323" i="29" s="1"/>
  <c r="N500" i="29"/>
  <c r="N502" i="29" s="1"/>
  <c r="M496" i="29"/>
  <c r="M498" i="29" s="1"/>
  <c r="F555" i="29"/>
  <c r="F557" i="29" s="1"/>
  <c r="F547" i="29"/>
  <c r="F549" i="29" s="1"/>
  <c r="O609" i="29"/>
  <c r="O611" i="29" s="1"/>
  <c r="O601" i="29"/>
  <c r="O603" i="29" s="1"/>
  <c r="N609" i="29"/>
  <c r="N611" i="29" s="1"/>
  <c r="P212" i="29"/>
  <c r="P214" i="29" s="1"/>
  <c r="M264" i="29"/>
  <c r="M266" i="29" s="1"/>
  <c r="J317" i="29"/>
  <c r="J319" i="29" s="1"/>
  <c r="O500" i="29"/>
  <c r="O502" i="29" s="1"/>
  <c r="N496" i="29"/>
  <c r="N498" i="29" s="1"/>
  <c r="M492" i="29"/>
  <c r="M494" i="29" s="1"/>
  <c r="G555" i="29"/>
  <c r="G557" i="29" s="1"/>
  <c r="G547" i="29"/>
  <c r="G549" i="29" s="1"/>
  <c r="P609" i="29"/>
  <c r="P611" i="29" s="1"/>
  <c r="P601" i="29"/>
  <c r="P603" i="29" s="1"/>
  <c r="K605" i="29"/>
  <c r="K607" i="29" s="1"/>
  <c r="L664" i="29"/>
  <c r="L666" i="29" s="1"/>
  <c r="L656" i="29"/>
  <c r="L658" i="29" s="1"/>
  <c r="F710" i="29"/>
  <c r="F712" i="29" s="1"/>
  <c r="P500" i="29"/>
  <c r="P502" i="29" s="1"/>
  <c r="O496" i="29"/>
  <c r="O498" i="29" s="1"/>
  <c r="L605" i="29"/>
  <c r="L607" i="29" s="1"/>
  <c r="M664" i="29"/>
  <c r="M666" i="29" s="1"/>
  <c r="M656" i="29"/>
  <c r="M658" i="29" s="1"/>
  <c r="I710" i="29"/>
  <c r="I712" i="29" s="1"/>
  <c r="O264" i="29"/>
  <c r="O266" i="29" s="1"/>
  <c r="L317" i="29"/>
  <c r="L319" i="29" s="1"/>
  <c r="P496" i="29"/>
  <c r="P498" i="29" s="1"/>
  <c r="O492" i="29"/>
  <c r="O494" i="29" s="1"/>
  <c r="O547" i="29"/>
  <c r="O549" i="29" s="1"/>
  <c r="J710" i="29"/>
  <c r="J712" i="29" s="1"/>
  <c r="H500" i="29"/>
  <c r="H502" i="29" s="1"/>
  <c r="F496" i="29"/>
  <c r="F498" i="29" s="1"/>
  <c r="H547" i="29"/>
  <c r="H549" i="29" s="1"/>
  <c r="E603" i="29"/>
  <c r="N656" i="29"/>
  <c r="N658" i="29" s="1"/>
  <c r="K710" i="29"/>
  <c r="K712" i="29" s="1"/>
  <c r="I547" i="29"/>
  <c r="I549" i="29" s="1"/>
  <c r="F601" i="29"/>
  <c r="F603" i="29" s="1"/>
  <c r="O656" i="29"/>
  <c r="O658" i="29" s="1"/>
  <c r="L710" i="29"/>
  <c r="L712" i="29" s="1"/>
  <c r="J547" i="29"/>
  <c r="J549" i="29" s="1"/>
  <c r="P660" i="29"/>
  <c r="P662" i="29" s="1"/>
  <c r="K547" i="29"/>
  <c r="K549" i="29" s="1"/>
  <c r="H601" i="29"/>
  <c r="H603" i="29" s="1"/>
  <c r="E662" i="29"/>
  <c r="N710" i="29"/>
  <c r="N712" i="29" s="1"/>
  <c r="L547" i="29"/>
  <c r="L549" i="29" s="1"/>
  <c r="I601" i="29"/>
  <c r="I603" i="29" s="1"/>
  <c r="F656" i="29"/>
  <c r="F658" i="29" s="1"/>
  <c r="O710" i="29"/>
  <c r="O712" i="29" s="1"/>
  <c r="M547" i="29"/>
  <c r="M549" i="29" s="1"/>
  <c r="J601" i="29"/>
  <c r="J603" i="29" s="1"/>
  <c r="G656" i="29"/>
  <c r="G658" i="29" s="1"/>
  <c r="P710" i="29"/>
  <c r="P712" i="29" s="1"/>
  <c r="I480" i="14"/>
  <c r="I185" i="14"/>
  <c r="I474" i="14"/>
  <c r="H490" i="14"/>
  <c r="H492" i="14" s="1"/>
  <c r="I86" i="14"/>
  <c r="G322" i="14"/>
  <c r="F104" i="14"/>
  <c r="F219" i="14"/>
  <c r="F603" i="14"/>
  <c r="E650" i="14"/>
  <c r="E652" i="14" s="1"/>
  <c r="F161" i="14"/>
  <c r="F549" i="14"/>
  <c r="G161" i="14"/>
  <c r="F326" i="14"/>
  <c r="G549" i="14"/>
  <c r="E108" i="14"/>
  <c r="G326" i="14"/>
  <c r="F108" i="14"/>
  <c r="E494" i="14"/>
  <c r="G108" i="14"/>
  <c r="E215" i="14"/>
  <c r="E271" i="14"/>
  <c r="F494" i="14"/>
  <c r="F271" i="14"/>
  <c r="E486" i="14"/>
  <c r="G494" i="14"/>
  <c r="E711" i="14"/>
  <c r="E549" i="14"/>
  <c r="E157" i="14"/>
  <c r="F711" i="14"/>
  <c r="G215" i="14"/>
  <c r="E595" i="14"/>
  <c r="E104" i="14"/>
  <c r="J780" i="14" l="1"/>
  <c r="J779" i="14"/>
  <c r="E899" i="29"/>
  <c r="E831" i="29"/>
  <c r="J797" i="14"/>
  <c r="E822" i="29"/>
  <c r="J799" i="14"/>
  <c r="J798" i="14"/>
  <c r="J789" i="14"/>
  <c r="H293" i="14"/>
  <c r="H318" i="14"/>
  <c r="H320" i="14" s="1"/>
  <c r="J790" i="14"/>
  <c r="J788" i="14"/>
  <c r="J414" i="14"/>
  <c r="J404" i="14"/>
  <c r="J403" i="14"/>
  <c r="J412" i="14"/>
  <c r="K42" i="25"/>
  <c r="G488" i="14"/>
  <c r="M42" i="28"/>
  <c r="G605" i="14"/>
  <c r="O40" i="25"/>
  <c r="E705" i="14"/>
  <c r="L41" i="27"/>
  <c r="F547" i="14"/>
  <c r="M42" i="27"/>
  <c r="G601" i="14"/>
  <c r="L40" i="25"/>
  <c r="E543" i="14"/>
  <c r="K42" i="28"/>
  <c r="G496" i="14"/>
  <c r="K40" i="25"/>
  <c r="E488" i="14"/>
  <c r="K40" i="27"/>
  <c r="E492" i="14"/>
  <c r="L41" i="25"/>
  <c r="F543" i="14"/>
  <c r="M41" i="25"/>
  <c r="F597" i="14"/>
  <c r="L41" i="28"/>
  <c r="F551" i="14"/>
  <c r="O41" i="27"/>
  <c r="F709" i="14"/>
  <c r="L40" i="28"/>
  <c r="E551" i="14"/>
  <c r="L42" i="25"/>
  <c r="G543" i="14"/>
  <c r="L42" i="28"/>
  <c r="G551" i="14"/>
  <c r="K41" i="28"/>
  <c r="F496" i="14"/>
  <c r="O40" i="27"/>
  <c r="E709" i="14"/>
  <c r="M41" i="27"/>
  <c r="F601" i="14"/>
  <c r="O42" i="28"/>
  <c r="G713" i="14"/>
  <c r="M41" i="28"/>
  <c r="F605" i="14"/>
  <c r="L42" i="27"/>
  <c r="G547" i="14"/>
  <c r="O42" i="27"/>
  <c r="G709" i="14"/>
  <c r="O41" i="25"/>
  <c r="F705" i="14"/>
  <c r="M40" i="25"/>
  <c r="E597" i="14"/>
  <c r="M40" i="28"/>
  <c r="E605" i="14"/>
  <c r="K40" i="28"/>
  <c r="E496" i="14"/>
  <c r="M42" i="25"/>
  <c r="G597" i="14"/>
  <c r="I582" i="14"/>
  <c r="H583" i="14"/>
  <c r="M40" i="27"/>
  <c r="E601" i="14"/>
  <c r="O40" i="28"/>
  <c r="E713" i="14"/>
  <c r="O41" i="28"/>
  <c r="F713" i="14"/>
  <c r="O42" i="25"/>
  <c r="G705" i="14"/>
  <c r="K41" i="25"/>
  <c r="F488" i="14"/>
  <c r="L43" i="24"/>
  <c r="H529" i="14"/>
  <c r="L40" i="27"/>
  <c r="E547" i="14"/>
  <c r="E881" i="29"/>
  <c r="E882" i="29" s="1"/>
  <c r="E109" i="29"/>
  <c r="E105" i="29"/>
  <c r="E890" i="29"/>
  <c r="N43" i="9"/>
  <c r="N40" i="27"/>
  <c r="N40" i="25"/>
  <c r="N42" i="28"/>
  <c r="G660" i="14"/>
  <c r="N42" i="27"/>
  <c r="G656" i="14"/>
  <c r="N41" i="28"/>
  <c r="F660" i="14"/>
  <c r="N41" i="27"/>
  <c r="F656" i="14"/>
  <c r="N40" i="28"/>
  <c r="N42" i="25"/>
  <c r="G652" i="14"/>
  <c r="N41" i="25"/>
  <c r="F652" i="14"/>
  <c r="I589" i="14"/>
  <c r="I42" i="25"/>
  <c r="G320" i="14"/>
  <c r="I40" i="28"/>
  <c r="E328" i="14"/>
  <c r="I41" i="25"/>
  <c r="F320" i="14"/>
  <c r="I41" i="27"/>
  <c r="F324" i="14"/>
  <c r="I40" i="27"/>
  <c r="E324" i="14"/>
  <c r="I42" i="27"/>
  <c r="G324" i="14"/>
  <c r="I42" i="28"/>
  <c r="G328" i="14"/>
  <c r="I305" i="14"/>
  <c r="H306" i="14"/>
  <c r="H94" i="14"/>
  <c r="H416" i="14"/>
  <c r="I41" i="28"/>
  <c r="F328" i="14"/>
  <c r="I40" i="25"/>
  <c r="E320" i="14"/>
  <c r="Q41" i="9"/>
  <c r="R41" i="9" s="1"/>
  <c r="J41" i="27"/>
  <c r="F379" i="14"/>
  <c r="J40" i="27"/>
  <c r="J40" i="28"/>
  <c r="J41" i="28"/>
  <c r="F383" i="14"/>
  <c r="J42" i="27"/>
  <c r="G379" i="14"/>
  <c r="J40" i="25"/>
  <c r="J42" i="25"/>
  <c r="G375" i="14"/>
  <c r="J43" i="9"/>
  <c r="J41" i="25"/>
  <c r="F375" i="14"/>
  <c r="J43" i="26"/>
  <c r="J42" i="28"/>
  <c r="G383" i="14"/>
  <c r="F42" i="27"/>
  <c r="G159" i="14"/>
  <c r="F42" i="28"/>
  <c r="G163" i="14"/>
  <c r="F41" i="27"/>
  <c r="F159" i="14"/>
  <c r="H42" i="28"/>
  <c r="G273" i="14"/>
  <c r="H41" i="28"/>
  <c r="F273" i="14"/>
  <c r="H40" i="25"/>
  <c r="E265" i="14"/>
  <c r="G42" i="28"/>
  <c r="G221" i="14"/>
  <c r="G42" i="25"/>
  <c r="G213" i="14"/>
  <c r="F41" i="28"/>
  <c r="F163" i="14"/>
  <c r="H211" i="14"/>
  <c r="H213" i="14" s="1"/>
  <c r="H198" i="14"/>
  <c r="H40" i="28"/>
  <c r="E273" i="14"/>
  <c r="G40" i="27"/>
  <c r="E217" i="14"/>
  <c r="G41" i="28"/>
  <c r="F221" i="14"/>
  <c r="G42" i="27"/>
  <c r="G217" i="14"/>
  <c r="G40" i="25"/>
  <c r="E213" i="14"/>
  <c r="H41" i="25"/>
  <c r="F265" i="14"/>
  <c r="H42" i="25"/>
  <c r="G265" i="14"/>
  <c r="G41" i="25"/>
  <c r="F213" i="14"/>
  <c r="H43" i="9"/>
  <c r="H240" i="14"/>
  <c r="F40" i="27"/>
  <c r="E159" i="14"/>
  <c r="H41" i="27"/>
  <c r="F269" i="14"/>
  <c r="F40" i="28"/>
  <c r="E163" i="14"/>
  <c r="G40" i="28"/>
  <c r="E221" i="14"/>
  <c r="H40" i="27"/>
  <c r="E269" i="14"/>
  <c r="G41" i="27"/>
  <c r="F217" i="14"/>
  <c r="H42" i="27"/>
  <c r="G269" i="14"/>
  <c r="Q40" i="9"/>
  <c r="R40" i="9" s="1"/>
  <c r="I197" i="14"/>
  <c r="Q42" i="9"/>
  <c r="R42" i="9" s="1"/>
  <c r="I140" i="14"/>
  <c r="F41" i="25"/>
  <c r="F155" i="14"/>
  <c r="F43" i="9"/>
  <c r="F42" i="25"/>
  <c r="F40" i="25"/>
  <c r="E42" i="27"/>
  <c r="G106" i="14"/>
  <c r="E40" i="28"/>
  <c r="E110" i="14"/>
  <c r="E40" i="27"/>
  <c r="E106" i="14"/>
  <c r="E42" i="28"/>
  <c r="G110" i="14"/>
  <c r="E41" i="28"/>
  <c r="F110" i="14"/>
  <c r="E41" i="27"/>
  <c r="F106" i="14"/>
  <c r="E40" i="25"/>
  <c r="E41" i="25"/>
  <c r="F102" i="14"/>
  <c r="I239" i="14"/>
  <c r="E42" i="25"/>
  <c r="G102" i="14"/>
  <c r="I93" i="14"/>
  <c r="H104" i="14"/>
  <c r="E43" i="9"/>
  <c r="E438" i="29"/>
  <c r="E439" i="29" s="1"/>
  <c r="I129" i="14"/>
  <c r="L881" i="29"/>
  <c r="L882" i="29" s="1"/>
  <c r="K822" i="29"/>
  <c r="K823" i="29" s="1"/>
  <c r="O881" i="29"/>
  <c r="O882" i="29" s="1"/>
  <c r="P881" i="29"/>
  <c r="P882" i="29" s="1"/>
  <c r="N881" i="29"/>
  <c r="N882" i="29" s="1"/>
  <c r="K881" i="29"/>
  <c r="K882" i="29" s="1"/>
  <c r="O822" i="29"/>
  <c r="O823" i="29" s="1"/>
  <c r="M881" i="29"/>
  <c r="M882" i="29" s="1"/>
  <c r="H881" i="29"/>
  <c r="H882" i="29" s="1"/>
  <c r="J822" i="29"/>
  <c r="J823" i="29" s="1"/>
  <c r="H822" i="29"/>
  <c r="H823" i="29" s="1"/>
  <c r="E823" i="29"/>
  <c r="L822" i="29"/>
  <c r="L823" i="29" s="1"/>
  <c r="P822" i="29"/>
  <c r="P823" i="29" s="1"/>
  <c r="M822" i="29"/>
  <c r="M823" i="29" s="1"/>
  <c r="I881" i="29"/>
  <c r="I882" i="29" s="1"/>
  <c r="F822" i="29"/>
  <c r="F823" i="29" s="1"/>
  <c r="I822" i="29"/>
  <c r="I823" i="29" s="1"/>
  <c r="N822" i="29"/>
  <c r="N823" i="29" s="1"/>
  <c r="G881" i="29"/>
  <c r="G882" i="29" s="1"/>
  <c r="F881" i="29"/>
  <c r="F882" i="29" s="1"/>
  <c r="G822" i="29"/>
  <c r="G823" i="29" s="1"/>
  <c r="J881" i="29"/>
  <c r="J882" i="29" s="1"/>
  <c r="P429" i="29"/>
  <c r="P430" i="29" s="1"/>
  <c r="H861" i="14"/>
  <c r="J861" i="14" s="1"/>
  <c r="I348" i="14"/>
  <c r="I697" i="14"/>
  <c r="O43" i="26"/>
  <c r="I637" i="14"/>
  <c r="N43" i="24"/>
  <c r="I257" i="14"/>
  <c r="H43" i="26"/>
  <c r="I644" i="14"/>
  <c r="N43" i="26"/>
  <c r="I571" i="14"/>
  <c r="M43" i="9"/>
  <c r="I205" i="14"/>
  <c r="G43" i="26"/>
  <c r="I516" i="14"/>
  <c r="L43" i="9"/>
  <c r="I678" i="14"/>
  <c r="O43" i="9"/>
  <c r="I535" i="14"/>
  <c r="L43" i="26"/>
  <c r="H263" i="14"/>
  <c r="H265" i="14" s="1"/>
  <c r="H43" i="24"/>
  <c r="H324" i="14"/>
  <c r="H373" i="14"/>
  <c r="H375" i="14" s="1"/>
  <c r="J43" i="24"/>
  <c r="I292" i="14"/>
  <c r="I43" i="9"/>
  <c r="H438" i="29"/>
  <c r="H439" i="29" s="1"/>
  <c r="J438" i="29"/>
  <c r="J439" i="29" s="1"/>
  <c r="I447" i="29"/>
  <c r="I448" i="29" s="1"/>
  <c r="N429" i="29"/>
  <c r="N430" i="29" s="1"/>
  <c r="N447" i="29"/>
  <c r="N448" i="29" s="1"/>
  <c r="K447" i="29"/>
  <c r="K448" i="29" s="1"/>
  <c r="K438" i="29"/>
  <c r="K439" i="29" s="1"/>
  <c r="L438" i="29"/>
  <c r="L439" i="29" s="1"/>
  <c r="O438" i="29"/>
  <c r="O439" i="29" s="1"/>
  <c r="O447" i="29"/>
  <c r="O448" i="29" s="1"/>
  <c r="M447" i="29"/>
  <c r="M448" i="29" s="1"/>
  <c r="O429" i="29"/>
  <c r="O430" i="29" s="1"/>
  <c r="F429" i="29"/>
  <c r="F430" i="29" s="1"/>
  <c r="N438" i="29"/>
  <c r="N439" i="29" s="1"/>
  <c r="L429" i="29"/>
  <c r="L430" i="29" s="1"/>
  <c r="F447" i="29"/>
  <c r="F448" i="29" s="1"/>
  <c r="H429" i="29"/>
  <c r="H430" i="29" s="1"/>
  <c r="L447" i="29"/>
  <c r="L448" i="29" s="1"/>
  <c r="H447" i="29"/>
  <c r="H448" i="29" s="1"/>
  <c r="M438" i="29"/>
  <c r="M439" i="29" s="1"/>
  <c r="G429" i="29"/>
  <c r="G430" i="29" s="1"/>
  <c r="P447" i="29"/>
  <c r="P448" i="29" s="1"/>
  <c r="G447" i="29"/>
  <c r="G448" i="29" s="1"/>
  <c r="J429" i="29"/>
  <c r="J430" i="29" s="1"/>
  <c r="E429" i="29"/>
  <c r="E430" i="29" s="1"/>
  <c r="F438" i="29"/>
  <c r="F439" i="29" s="1"/>
  <c r="P438" i="29"/>
  <c r="P439" i="29" s="1"/>
  <c r="I438" i="29"/>
  <c r="I439" i="29" s="1"/>
  <c r="J447" i="29"/>
  <c r="J448" i="29" s="1"/>
  <c r="E447" i="29"/>
  <c r="E448" i="29" s="1"/>
  <c r="K429" i="29"/>
  <c r="K430" i="29" s="1"/>
  <c r="I429" i="29"/>
  <c r="I430" i="29" s="1"/>
  <c r="M429" i="29"/>
  <c r="M430" i="29" s="1"/>
  <c r="G438" i="29"/>
  <c r="G439" i="29" s="1"/>
  <c r="H267" i="14"/>
  <c r="H269" i="14" s="1"/>
  <c r="I250" i="14"/>
  <c r="H271" i="14"/>
  <c r="H273" i="14" s="1"/>
  <c r="H219" i="14"/>
  <c r="H221" i="14" s="1"/>
  <c r="H792" i="14"/>
  <c r="F870" i="14"/>
  <c r="J867" i="14" s="1"/>
  <c r="G819" i="14"/>
  <c r="J817" i="14" s="1"/>
  <c r="G810" i="14"/>
  <c r="J808" i="14" s="1"/>
  <c r="E810" i="14"/>
  <c r="J806" i="14" s="1"/>
  <c r="F810" i="14"/>
  <c r="J807" i="14" s="1"/>
  <c r="E888" i="14"/>
  <c r="J884" i="14" s="1"/>
  <c r="E879" i="14"/>
  <c r="J875" i="14" s="1"/>
  <c r="H215" i="14"/>
  <c r="H217" i="14" s="1"/>
  <c r="G888" i="14"/>
  <c r="J886" i="14" s="1"/>
  <c r="H801" i="14"/>
  <c r="G828" i="14"/>
  <c r="J826" i="14" s="1"/>
  <c r="F819" i="14"/>
  <c r="J816" i="14" s="1"/>
  <c r="E819" i="14"/>
  <c r="J815" i="14" s="1"/>
  <c r="F828" i="14"/>
  <c r="J825" i="14" s="1"/>
  <c r="E828" i="14"/>
  <c r="J824" i="14" s="1"/>
  <c r="G879" i="14"/>
  <c r="J877" i="14" s="1"/>
  <c r="F879" i="14"/>
  <c r="J876" i="14" s="1"/>
  <c r="G870" i="14"/>
  <c r="J868" i="14" s="1"/>
  <c r="F888" i="14"/>
  <c r="J885" i="14" s="1"/>
  <c r="E870" i="14"/>
  <c r="J866" i="14" s="1"/>
  <c r="I624" i="14"/>
  <c r="H843" i="14"/>
  <c r="J843" i="14" s="1"/>
  <c r="H783" i="14"/>
  <c r="H852" i="14"/>
  <c r="J852" i="14" s="1"/>
  <c r="H595" i="14"/>
  <c r="H597" i="14" s="1"/>
  <c r="H650" i="14"/>
  <c r="H652" i="14" s="1"/>
  <c r="H654" i="14"/>
  <c r="H656" i="14" s="1"/>
  <c r="H545" i="14"/>
  <c r="H547" i="14" s="1"/>
  <c r="H703" i="14"/>
  <c r="H705" i="14" s="1"/>
  <c r="H494" i="14"/>
  <c r="H496" i="14" s="1"/>
  <c r="I463" i="14"/>
  <c r="H486" i="14"/>
  <c r="H488" i="14" s="1"/>
  <c r="F434" i="14"/>
  <c r="J431" i="14" s="1"/>
  <c r="H153" i="14"/>
  <c r="H155" i="14" s="1"/>
  <c r="H658" i="14"/>
  <c r="G443" i="14"/>
  <c r="J441" i="14" s="1"/>
  <c r="H407" i="14"/>
  <c r="G425" i="14"/>
  <c r="J423" i="14" s="1"/>
  <c r="E434" i="14"/>
  <c r="J430" i="14" s="1"/>
  <c r="I528" i="14"/>
  <c r="F443" i="14"/>
  <c r="J440" i="14" s="1"/>
  <c r="H100" i="14"/>
  <c r="H102" i="14" s="1"/>
  <c r="H398" i="14"/>
  <c r="J398" i="14" s="1"/>
  <c r="H603" i="14"/>
  <c r="H605" i="14" s="1"/>
  <c r="H707" i="14"/>
  <c r="G434" i="14"/>
  <c r="J432" i="14" s="1"/>
  <c r="E443" i="14"/>
  <c r="J439" i="14" s="1"/>
  <c r="E425" i="14"/>
  <c r="J421" i="14" s="1"/>
  <c r="H599" i="14"/>
  <c r="H601" i="14" s="1"/>
  <c r="F425" i="14"/>
  <c r="J422" i="14" s="1"/>
  <c r="H711" i="14"/>
  <c r="H713" i="14" s="1"/>
  <c r="I367" i="14"/>
  <c r="I360" i="14"/>
  <c r="H161" i="14"/>
  <c r="H163" i="14" s="1"/>
  <c r="H157" i="14"/>
  <c r="H159" i="14" s="1"/>
  <c r="H377" i="14"/>
  <c r="H379" i="14" s="1"/>
  <c r="H381" i="14"/>
  <c r="H383" i="14" s="1"/>
  <c r="H549" i="14"/>
  <c r="H551" i="14" s="1"/>
  <c r="H541" i="14"/>
  <c r="H543" i="14" s="1"/>
  <c r="H326" i="14"/>
  <c r="H328" i="14" s="1"/>
  <c r="I75" i="14"/>
  <c r="H108" i="14"/>
  <c r="I105" i="14"/>
  <c r="I491" i="14"/>
  <c r="J783" i="14" l="1"/>
  <c r="J801" i="14"/>
  <c r="J792" i="14"/>
  <c r="J416" i="14"/>
  <c r="J407" i="14"/>
  <c r="O43" i="27"/>
  <c r="H709" i="14"/>
  <c r="N43" i="25"/>
  <c r="N43" i="28"/>
  <c r="H660" i="14"/>
  <c r="G43" i="25"/>
  <c r="I212" i="14"/>
  <c r="Q41" i="28"/>
  <c r="R41" i="28" s="1"/>
  <c r="Q42" i="28"/>
  <c r="R42" i="28" s="1"/>
  <c r="Q40" i="27"/>
  <c r="R40" i="27" s="1"/>
  <c r="Q40" i="28"/>
  <c r="R40" i="28" s="1"/>
  <c r="Q40" i="25"/>
  <c r="R40" i="25" s="1"/>
  <c r="Q41" i="25"/>
  <c r="R41" i="25" s="1"/>
  <c r="Q42" i="25"/>
  <c r="R42" i="25" s="1"/>
  <c r="E43" i="27"/>
  <c r="H106" i="14"/>
  <c r="E43" i="28"/>
  <c r="H110" i="14"/>
  <c r="E43" i="25"/>
  <c r="Q43" i="9"/>
  <c r="R43" i="9" s="1"/>
  <c r="I704" i="14"/>
  <c r="O43" i="25"/>
  <c r="I374" i="14"/>
  <c r="J43" i="25"/>
  <c r="I712" i="14"/>
  <c r="O43" i="28"/>
  <c r="I546" i="14"/>
  <c r="L43" i="27"/>
  <c r="I43" i="27"/>
  <c r="I655" i="14"/>
  <c r="N43" i="27"/>
  <c r="I264" i="14"/>
  <c r="H43" i="25"/>
  <c r="I600" i="14"/>
  <c r="M43" i="27"/>
  <c r="I596" i="14"/>
  <c r="M43" i="25"/>
  <c r="I550" i="14"/>
  <c r="L43" i="28"/>
  <c r="I382" i="14"/>
  <c r="J43" i="28"/>
  <c r="I272" i="14"/>
  <c r="H43" i="28"/>
  <c r="I542" i="14"/>
  <c r="L43" i="25"/>
  <c r="I378" i="14"/>
  <c r="J43" i="27"/>
  <c r="I604" i="14"/>
  <c r="M43" i="28"/>
  <c r="I158" i="14"/>
  <c r="F43" i="27"/>
  <c r="I487" i="14"/>
  <c r="K43" i="25"/>
  <c r="I216" i="14"/>
  <c r="G43" i="27"/>
  <c r="I268" i="14"/>
  <c r="H43" i="27"/>
  <c r="I220" i="14"/>
  <c r="G43" i="28"/>
  <c r="I162" i="14"/>
  <c r="F43" i="28"/>
  <c r="I154" i="14"/>
  <c r="F43" i="25"/>
  <c r="I319" i="14"/>
  <c r="I43" i="25"/>
  <c r="I327" i="14"/>
  <c r="I43" i="28"/>
  <c r="I495" i="14"/>
  <c r="K43" i="28"/>
  <c r="I708" i="14"/>
  <c r="H819" i="14"/>
  <c r="J819" i="14" s="1"/>
  <c r="H888" i="14"/>
  <c r="J888" i="14" s="1"/>
  <c r="H879" i="14"/>
  <c r="J879" i="14" s="1"/>
  <c r="I651" i="14"/>
  <c r="H810" i="14"/>
  <c r="J810" i="14" s="1"/>
  <c r="I659" i="14"/>
  <c r="H828" i="14"/>
  <c r="J828" i="14" s="1"/>
  <c r="I101" i="14"/>
  <c r="H870" i="14"/>
  <c r="J870" i="14" s="1"/>
  <c r="H434" i="14"/>
  <c r="J434" i="14" s="1"/>
  <c r="H425" i="14"/>
  <c r="J425" i="14" s="1"/>
  <c r="H443" i="14"/>
  <c r="J443" i="14" s="1"/>
  <c r="I109" i="14"/>
  <c r="Q43" i="28" l="1"/>
  <c r="R43" i="28" s="1"/>
  <c r="Q43" i="25"/>
  <c r="R43" i="25" s="1"/>
  <c r="U433" i="7"/>
  <c r="U98" i="7"/>
  <c r="U595" i="7"/>
  <c r="U382" i="7"/>
  <c r="U322" i="7"/>
  <c r="U328" i="7"/>
  <c r="J37" i="26" s="1"/>
  <c r="U319" i="7"/>
  <c r="J28" i="26" s="1"/>
  <c r="J13" i="26"/>
  <c r="J17" i="26"/>
  <c r="J18" i="26"/>
  <c r="J21" i="26"/>
  <c r="J22" i="26"/>
  <c r="J24" i="26"/>
  <c r="J25" i="26"/>
  <c r="J32" i="26"/>
  <c r="J33" i="26"/>
  <c r="J34" i="26"/>
  <c r="J35" i="26"/>
  <c r="J36" i="26"/>
  <c r="J38" i="26"/>
  <c r="J9" i="26"/>
  <c r="J31" i="26"/>
  <c r="J16" i="26"/>
  <c r="U320" i="7"/>
  <c r="J29" i="26" s="1"/>
  <c r="J30" i="26"/>
  <c r="U317" i="7"/>
  <c r="J26" i="26" s="1"/>
  <c r="U332" i="7"/>
  <c r="AO332" i="7" s="1"/>
  <c r="AG308" i="7"/>
  <c r="U302" i="7"/>
  <c r="J11" i="26" s="1"/>
  <c r="U305" i="7"/>
  <c r="J14" i="26" s="1"/>
  <c r="U331" i="7" l="1"/>
  <c r="U314" i="7"/>
  <c r="J23" i="26" s="1"/>
  <c r="U318" i="7"/>
  <c r="J27" i="26" s="1"/>
  <c r="AG315" i="7"/>
  <c r="U306" i="7" s="1"/>
  <c r="J20" i="26"/>
  <c r="J19" i="26"/>
  <c r="P23" i="26"/>
  <c r="U648" i="7"/>
  <c r="P34" i="26" s="1"/>
  <c r="P31" i="26"/>
  <c r="U301" i="7"/>
  <c r="J10" i="26" s="1"/>
  <c r="P9" i="26"/>
  <c r="P10" i="26"/>
  <c r="P13" i="26"/>
  <c r="P14" i="26"/>
  <c r="P17" i="26"/>
  <c r="P18" i="26"/>
  <c r="P19" i="26"/>
  <c r="P20" i="26"/>
  <c r="P21" i="26"/>
  <c r="P22" i="26"/>
  <c r="P24" i="26"/>
  <c r="P26" i="26"/>
  <c r="P27" i="26"/>
  <c r="P32" i="26"/>
  <c r="P35" i="26"/>
  <c r="P36" i="26"/>
  <c r="P38" i="26"/>
  <c r="P16" i="26"/>
  <c r="P33" i="26"/>
  <c r="U651" i="7"/>
  <c r="P37" i="26" s="1"/>
  <c r="U656" i="7"/>
  <c r="AO656" i="7" s="1"/>
  <c r="U625" i="7"/>
  <c r="P11" i="26" s="1"/>
  <c r="U642" i="7"/>
  <c r="P28" i="26" s="1"/>
  <c r="P29" i="26"/>
  <c r="U658" i="7"/>
  <c r="U639" i="7"/>
  <c r="P25" i="26" s="1"/>
  <c r="P30" i="26"/>
  <c r="AG632" i="7"/>
  <c r="AG638" i="7" s="1"/>
  <c r="U522" i="7"/>
  <c r="AE370" i="7" l="1"/>
  <c r="AE421" i="7"/>
  <c r="AE575" i="7"/>
  <c r="AE573" i="7"/>
  <c r="AE571" i="7"/>
  <c r="S651" i="7" l="1"/>
  <c r="AE639" i="7"/>
  <c r="S658" i="7"/>
  <c r="AO658" i="7" s="1"/>
  <c r="S625" i="7"/>
  <c r="S640" i="7"/>
  <c r="S637" i="7"/>
  <c r="S624" i="7"/>
  <c r="S657" i="7"/>
  <c r="AO657" i="7" s="1"/>
  <c r="S631" i="7"/>
  <c r="AE629" i="7"/>
  <c r="S654" i="7"/>
  <c r="S642" i="7"/>
  <c r="AE623" i="7"/>
  <c r="AE625" i="7"/>
  <c r="AE624" i="7"/>
  <c r="AE632" i="7"/>
  <c r="S655" i="7"/>
  <c r="AE631" i="7"/>
  <c r="S627" i="7"/>
  <c r="S628" i="7"/>
  <c r="S635" i="7"/>
  <c r="S140" i="7"/>
  <c r="W140" i="7" s="1"/>
  <c r="S548" i="7"/>
  <c r="AO548" i="7" s="1"/>
  <c r="S515" i="7"/>
  <c r="S407" i="7"/>
  <c r="S356" i="7"/>
  <c r="S302" i="7"/>
  <c r="S247" i="7"/>
  <c r="S134" i="7"/>
  <c r="S623" i="7"/>
  <c r="Y623" i="7" s="1"/>
  <c r="AE309" i="7"/>
  <c r="AK623" i="7" l="1"/>
  <c r="AI623" i="7"/>
  <c r="S467" i="7"/>
  <c r="P13" i="24"/>
  <c r="P28" i="24"/>
  <c r="P14" i="24"/>
  <c r="P21" i="24"/>
  <c r="P10" i="24"/>
  <c r="P11" i="24"/>
  <c r="P16" i="24"/>
  <c r="P17" i="24"/>
  <c r="P18" i="24"/>
  <c r="P19" i="24"/>
  <c r="P20" i="24"/>
  <c r="P22" i="24"/>
  <c r="P23" i="24"/>
  <c r="P24" i="24"/>
  <c r="P25" i="24"/>
  <c r="P26" i="24"/>
  <c r="P27" i="24"/>
  <c r="P29" i="24"/>
  <c r="P30" i="24"/>
  <c r="P31" i="24"/>
  <c r="P32" i="24"/>
  <c r="P33" i="24"/>
  <c r="P34" i="24"/>
  <c r="P35" i="24"/>
  <c r="P36" i="24"/>
  <c r="P37" i="24"/>
  <c r="P38" i="24"/>
  <c r="P9" i="24"/>
  <c r="Q628" i="7"/>
  <c r="AE316" i="7"/>
  <c r="S309" i="7"/>
  <c r="S328" i="7"/>
  <c r="AE308" i="7"/>
  <c r="Q655" i="7"/>
  <c r="AO655" i="7" s="1"/>
  <c r="Q651" i="7"/>
  <c r="Q642" i="7"/>
  <c r="Q317" i="7"/>
  <c r="Q319" i="7"/>
  <c r="Q654" i="7"/>
  <c r="AO654" i="7" s="1"/>
  <c r="AC579" i="7"/>
  <c r="AE578" i="7" l="1"/>
  <c r="S589" i="7"/>
  <c r="S587" i="7"/>
  <c r="AE576" i="7"/>
  <c r="Q587" i="7"/>
  <c r="AG370" i="7"/>
  <c r="AG363" i="7"/>
  <c r="AE357" i="7"/>
  <c r="S264" i="7"/>
  <c r="S254" i="7" l="1"/>
  <c r="AE254" i="7"/>
  <c r="AE253" i="7"/>
  <c r="U211" i="7"/>
  <c r="S211" i="7"/>
  <c r="S214" i="7"/>
  <c r="S206" i="7"/>
  <c r="AE202" i="7"/>
  <c r="S208" i="7"/>
  <c r="AE132" i="7"/>
  <c r="AR132" i="7" s="1"/>
  <c r="AC144" i="7"/>
  <c r="S160" i="7"/>
  <c r="S154" i="7"/>
  <c r="S152" i="7"/>
  <c r="AE140" i="7"/>
  <c r="AE136" i="7"/>
  <c r="AE142" i="7"/>
  <c r="S98" i="7"/>
  <c r="S92" i="7"/>
  <c r="S90" i="7"/>
  <c r="AE75" i="7"/>
  <c r="AE71" i="7"/>
  <c r="AE76" i="7"/>
  <c r="S89" i="7"/>
  <c r="S87" i="7" l="1"/>
  <c r="AO87" i="7" s="1"/>
  <c r="S39" i="7"/>
  <c r="AE12" i="7"/>
  <c r="AE7" i="7"/>
  <c r="AE11" i="7"/>
  <c r="AE16" i="7"/>
  <c r="S15" i="7"/>
  <c r="AE15" i="7"/>
  <c r="AI7" i="7" l="1"/>
  <c r="AR7" i="7"/>
  <c r="AK7" i="7"/>
  <c r="S542" i="7"/>
  <c r="S261" i="7"/>
  <c r="S274" i="7"/>
  <c r="AE138" i="7"/>
  <c r="S71" i="7" l="1"/>
  <c r="S602" i="7"/>
  <c r="S568" i="7" l="1"/>
  <c r="S25" i="7" l="1"/>
  <c r="J13" i="24"/>
  <c r="J16" i="24"/>
  <c r="J17" i="24"/>
  <c r="J19" i="24"/>
  <c r="J21" i="24"/>
  <c r="J24" i="24"/>
  <c r="J25" i="24"/>
  <c r="J26" i="24"/>
  <c r="J30" i="24"/>
  <c r="J32" i="24"/>
  <c r="J33" i="24"/>
  <c r="J34" i="24"/>
  <c r="J35" i="24"/>
  <c r="J36" i="24"/>
  <c r="J38" i="24"/>
  <c r="J18" i="24"/>
  <c r="S301" i="7"/>
  <c r="J10" i="24" s="1"/>
  <c r="S300" i="7"/>
  <c r="J9" i="24" s="1"/>
  <c r="AE306" i="7"/>
  <c r="J37" i="24"/>
  <c r="J28" i="24"/>
  <c r="J23" i="24"/>
  <c r="J14" i="24"/>
  <c r="J31" i="24"/>
  <c r="J29" i="24"/>
  <c r="J11" i="24"/>
  <c r="S318" i="7"/>
  <c r="J27" i="24" s="1"/>
  <c r="S313" i="7"/>
  <c r="J22" i="24" s="1"/>
  <c r="J20" i="24"/>
  <c r="S331" i="7"/>
  <c r="AO331" i="7" s="1"/>
  <c r="Q535" i="7" l="1"/>
  <c r="Q427" i="7"/>
  <c r="Q376" i="7"/>
  <c r="Q632" i="7"/>
  <c r="Q328" i="7"/>
  <c r="U581" i="7"/>
  <c r="U598" i="7"/>
  <c r="U599" i="7"/>
  <c r="Q591" i="7"/>
  <c r="Q589" i="7"/>
  <c r="U589" i="7"/>
  <c r="U531" i="7"/>
  <c r="S535" i="7"/>
  <c r="AE513" i="7"/>
  <c r="S521" i="7"/>
  <c r="U376" i="7"/>
  <c r="U368" i="7"/>
  <c r="S363" i="7"/>
  <c r="U259" i="7"/>
  <c r="U273" i="7"/>
  <c r="U280" i="7"/>
  <c r="U265" i="7"/>
  <c r="U246" i="7"/>
  <c r="U245" i="7"/>
  <c r="AE256" i="7"/>
  <c r="AE198" i="7"/>
  <c r="U156" i="7"/>
  <c r="U155" i="7"/>
  <c r="U152" i="7"/>
  <c r="U160" i="7"/>
  <c r="AG140" i="7"/>
  <c r="U146" i="7"/>
  <c r="U134" i="7"/>
  <c r="Q92" i="7"/>
  <c r="Q78" i="7"/>
  <c r="AO78" i="7" s="1"/>
  <c r="AE19" i="7"/>
  <c r="AK513" i="7" l="1"/>
  <c r="AR513" i="7"/>
  <c r="AI513" i="7"/>
  <c r="AE260" i="7"/>
  <c r="AR257" i="7"/>
  <c r="Q643" i="7"/>
  <c r="Q373" i="7"/>
  <c r="Q624" i="7"/>
  <c r="Q623" i="7"/>
  <c r="AC631" i="7"/>
  <c r="Q625" i="7"/>
  <c r="Q641" i="7"/>
  <c r="AC634" i="7"/>
  <c r="Q637" i="7"/>
  <c r="Q638" i="7"/>
  <c r="AC633" i="7"/>
  <c r="W623" i="7" l="1"/>
  <c r="AO623" i="7"/>
  <c r="S251" i="7"/>
  <c r="Q314" i="7"/>
  <c r="J23" i="9" s="1"/>
  <c r="AC639" i="7"/>
  <c r="AC417" i="7"/>
  <c r="J11" i="9"/>
  <c r="J13" i="9"/>
  <c r="J14" i="9"/>
  <c r="J17" i="9"/>
  <c r="J18" i="9"/>
  <c r="J19" i="9"/>
  <c r="J20" i="9"/>
  <c r="J21" i="9"/>
  <c r="J22" i="9"/>
  <c r="J24" i="9"/>
  <c r="J25" i="9"/>
  <c r="J26" i="9"/>
  <c r="J27" i="9"/>
  <c r="J29" i="9"/>
  <c r="J30" i="9"/>
  <c r="J32" i="9"/>
  <c r="J34" i="9"/>
  <c r="J35" i="9"/>
  <c r="J36" i="9"/>
  <c r="J38" i="9"/>
  <c r="Q301" i="7"/>
  <c r="J10" i="9" s="1"/>
  <c r="Q300" i="7"/>
  <c r="J16" i="9"/>
  <c r="Q322" i="7"/>
  <c r="J31" i="9" s="1"/>
  <c r="Q324" i="7"/>
  <c r="J33" i="9" s="1"/>
  <c r="J37" i="9"/>
  <c r="J28" i="9"/>
  <c r="AO624" i="7"/>
  <c r="P10" i="28" s="1"/>
  <c r="P9" i="9"/>
  <c r="P37" i="9"/>
  <c r="Q653" i="7"/>
  <c r="P39" i="9" s="1"/>
  <c r="AO625" i="7"/>
  <c r="P11" i="28" s="1"/>
  <c r="AO641" i="7"/>
  <c r="P27" i="28" s="1"/>
  <c r="P20" i="9"/>
  <c r="P28" i="9"/>
  <c r="P23" i="9"/>
  <c r="P24" i="9"/>
  <c r="P13" i="9"/>
  <c r="P16" i="9"/>
  <c r="P17" i="9"/>
  <c r="P18" i="9"/>
  <c r="P19" i="9"/>
  <c r="P21" i="9"/>
  <c r="P22" i="9"/>
  <c r="P25" i="9"/>
  <c r="P26" i="9"/>
  <c r="P29" i="9"/>
  <c r="P30" i="9"/>
  <c r="P31" i="9"/>
  <c r="P32" i="9"/>
  <c r="P33" i="9"/>
  <c r="P34" i="9"/>
  <c r="P35" i="9"/>
  <c r="P36" i="9"/>
  <c r="P38" i="9"/>
  <c r="W628" i="7"/>
  <c r="P14" i="25" s="1"/>
  <c r="AO639" i="7"/>
  <c r="P25" i="28" s="1"/>
  <c r="P12" i="9"/>
  <c r="U653" i="7"/>
  <c r="P39" i="26" s="1"/>
  <c r="S653" i="7"/>
  <c r="P39" i="24" s="1"/>
  <c r="AO652" i="7"/>
  <c r="P38" i="28" s="1"/>
  <c r="Y652" i="7"/>
  <c r="P38" i="27" s="1"/>
  <c r="W652" i="7"/>
  <c r="P38" i="25" s="1"/>
  <c r="Y651" i="7"/>
  <c r="P37" i="27" s="1"/>
  <c r="AO650" i="7"/>
  <c r="P36" i="28" s="1"/>
  <c r="Y650" i="7"/>
  <c r="P36" i="27" s="1"/>
  <c r="W650" i="7"/>
  <c r="P36" i="25" s="1"/>
  <c r="AO649" i="7"/>
  <c r="P35" i="28" s="1"/>
  <c r="Y649" i="7"/>
  <c r="P35" i="27" s="1"/>
  <c r="W649" i="7"/>
  <c r="P35" i="25" s="1"/>
  <c r="AO648" i="7"/>
  <c r="P34" i="28" s="1"/>
  <c r="Y648" i="7"/>
  <c r="P34" i="27" s="1"/>
  <c r="W648" i="7"/>
  <c r="P34" i="25" s="1"/>
  <c r="AO647" i="7"/>
  <c r="P33" i="28" s="1"/>
  <c r="Y647" i="7"/>
  <c r="P33" i="27" s="1"/>
  <c r="W647" i="7"/>
  <c r="P33" i="25" s="1"/>
  <c r="AO646" i="7"/>
  <c r="P32" i="28" s="1"/>
  <c r="Y646" i="7"/>
  <c r="P32" i="27" s="1"/>
  <c r="W646" i="7"/>
  <c r="P32" i="25" s="1"/>
  <c r="AO645" i="7"/>
  <c r="P31" i="28" s="1"/>
  <c r="Y645" i="7"/>
  <c r="P31" i="27" s="1"/>
  <c r="W645" i="7"/>
  <c r="P31" i="25" s="1"/>
  <c r="AO644" i="7"/>
  <c r="P30" i="28" s="1"/>
  <c r="Y644" i="7"/>
  <c r="P30" i="27" s="1"/>
  <c r="W644" i="7"/>
  <c r="P30" i="25" s="1"/>
  <c r="AO643" i="7"/>
  <c r="P29" i="28" s="1"/>
  <c r="Y643" i="7"/>
  <c r="P29" i="27" s="1"/>
  <c r="W643" i="7"/>
  <c r="P29" i="25" s="1"/>
  <c r="Y642" i="7"/>
  <c r="P28" i="27" s="1"/>
  <c r="Y641" i="7"/>
  <c r="P27" i="27" s="1"/>
  <c r="AO640" i="7"/>
  <c r="P26" i="28" s="1"/>
  <c r="Y640" i="7"/>
  <c r="P26" i="27" s="1"/>
  <c r="W640" i="7"/>
  <c r="P26" i="25" s="1"/>
  <c r="Y639" i="7"/>
  <c r="P25" i="27" s="1"/>
  <c r="AE638" i="7"/>
  <c r="S629" i="7" s="1"/>
  <c r="P15" i="24" s="1"/>
  <c r="AO638" i="7"/>
  <c r="P24" i="28" s="1"/>
  <c r="Y638" i="7"/>
  <c r="P24" i="27" s="1"/>
  <c r="W638" i="7"/>
  <c r="P24" i="25" s="1"/>
  <c r="AR637" i="7"/>
  <c r="AK637" i="7"/>
  <c r="AI637" i="7"/>
  <c r="AO637" i="7"/>
  <c r="P23" i="28" s="1"/>
  <c r="Y637" i="7"/>
  <c r="P23" i="27" s="1"/>
  <c r="W637" i="7"/>
  <c r="P23" i="25" s="1"/>
  <c r="AR636" i="7"/>
  <c r="AK636" i="7"/>
  <c r="AI636" i="7"/>
  <c r="AO636" i="7"/>
  <c r="P22" i="28" s="1"/>
  <c r="Y636" i="7"/>
  <c r="P22" i="27" s="1"/>
  <c r="W636" i="7"/>
  <c r="P22" i="25" s="1"/>
  <c r="AR635" i="7"/>
  <c r="AK635" i="7"/>
  <c r="AI635" i="7"/>
  <c r="AO635" i="7"/>
  <c r="P21" i="28" s="1"/>
  <c r="Y635" i="7"/>
  <c r="P21" i="27" s="1"/>
  <c r="W635" i="7"/>
  <c r="P21" i="25" s="1"/>
  <c r="AR634" i="7"/>
  <c r="AK634" i="7"/>
  <c r="AI634" i="7"/>
  <c r="AO634" i="7"/>
  <c r="P20" i="28" s="1"/>
  <c r="Y634" i="7"/>
  <c r="P20" i="27" s="1"/>
  <c r="W634" i="7"/>
  <c r="P20" i="25" s="1"/>
  <c r="AK633" i="7"/>
  <c r="AO633" i="7"/>
  <c r="P19" i="28" s="1"/>
  <c r="Y633" i="7"/>
  <c r="P19" i="27" s="1"/>
  <c r="W633" i="7"/>
  <c r="P19" i="25" s="1"/>
  <c r="AR632" i="7"/>
  <c r="AK632" i="7"/>
  <c r="AI632" i="7"/>
  <c r="AO632" i="7"/>
  <c r="P18" i="28" s="1"/>
  <c r="Y632" i="7"/>
  <c r="P18" i="27" s="1"/>
  <c r="W632" i="7"/>
  <c r="P18" i="25" s="1"/>
  <c r="AK631" i="7"/>
  <c r="AO631" i="7"/>
  <c r="P17" i="28" s="1"/>
  <c r="Y631" i="7"/>
  <c r="P17" i="27" s="1"/>
  <c r="W631" i="7"/>
  <c r="P17" i="25" s="1"/>
  <c r="AR630" i="7"/>
  <c r="AK630" i="7"/>
  <c r="AI630" i="7"/>
  <c r="AO630" i="7"/>
  <c r="P16" i="28" s="1"/>
  <c r="Y630" i="7"/>
  <c r="P16" i="27" s="1"/>
  <c r="W630" i="7"/>
  <c r="P16" i="25" s="1"/>
  <c r="AR629" i="7"/>
  <c r="AK629" i="7"/>
  <c r="AI629" i="7"/>
  <c r="U629" i="7"/>
  <c r="P15" i="26" s="1"/>
  <c r="AR628" i="7"/>
  <c r="AK628" i="7"/>
  <c r="AI628" i="7"/>
  <c r="Y628" i="7"/>
  <c r="P14" i="27" s="1"/>
  <c r="AR627" i="7"/>
  <c r="AK627" i="7"/>
  <c r="AI627" i="7"/>
  <c r="AO627" i="7"/>
  <c r="P13" i="28" s="1"/>
  <c r="Y627" i="7"/>
  <c r="P13" i="27" s="1"/>
  <c r="W627" i="7"/>
  <c r="P13" i="25" s="1"/>
  <c r="AR626" i="7"/>
  <c r="AK626" i="7"/>
  <c r="AI626" i="7"/>
  <c r="P12" i="26"/>
  <c r="AR625" i="7"/>
  <c r="AK625" i="7"/>
  <c r="AI625" i="7"/>
  <c r="Y625" i="7"/>
  <c r="P11" i="27" s="1"/>
  <c r="AR624" i="7"/>
  <c r="AK624" i="7"/>
  <c r="AI624" i="7"/>
  <c r="Y624" i="7"/>
  <c r="P10" i="27" s="1"/>
  <c r="AR623" i="7"/>
  <c r="P9" i="28"/>
  <c r="P9" i="27"/>
  <c r="J9" i="9" l="1"/>
  <c r="AO300" i="7"/>
  <c r="AC638" i="7"/>
  <c r="P27" i="9"/>
  <c r="AR631" i="7"/>
  <c r="W641" i="7"/>
  <c r="P27" i="25" s="1"/>
  <c r="W651" i="7"/>
  <c r="P37" i="25" s="1"/>
  <c r="P9" i="25"/>
  <c r="W624" i="7"/>
  <c r="P10" i="25" s="1"/>
  <c r="P10" i="9"/>
  <c r="AO651" i="7"/>
  <c r="P37" i="28" s="1"/>
  <c r="P11" i="9"/>
  <c r="W625" i="7"/>
  <c r="P11" i="25" s="1"/>
  <c r="W642" i="7"/>
  <c r="P28" i="25" s="1"/>
  <c r="AO642" i="7"/>
  <c r="P28" i="28" s="1"/>
  <c r="AI631" i="7"/>
  <c r="AR633" i="7"/>
  <c r="AI633" i="7"/>
  <c r="P14" i="9"/>
  <c r="AO628" i="7"/>
  <c r="P14" i="28" s="1"/>
  <c r="W639" i="7"/>
  <c r="P25" i="25" s="1"/>
  <c r="AK638" i="7"/>
  <c r="AO653" i="7"/>
  <c r="P39" i="28" s="1"/>
  <c r="Y653" i="7"/>
  <c r="P39" i="27" s="1"/>
  <c r="Y629" i="7"/>
  <c r="P15" i="27" s="1"/>
  <c r="W653" i="7"/>
  <c r="P39" i="25" s="1"/>
  <c r="AI638" i="7" l="1"/>
  <c r="AR638" i="7"/>
  <c r="Y626" i="7"/>
  <c r="P12" i="27" s="1"/>
  <c r="P12" i="24"/>
  <c r="Q629" i="7"/>
  <c r="P15" i="9" s="1"/>
  <c r="AO626" i="7"/>
  <c r="P12" i="28" s="1"/>
  <c r="W626" i="7"/>
  <c r="P12" i="25" s="1"/>
  <c r="AO629" i="7" l="1"/>
  <c r="P15" i="28" s="1"/>
  <c r="W629" i="7"/>
  <c r="P15" i="25" s="1"/>
  <c r="J12" i="26" l="1"/>
  <c r="J12" i="9"/>
  <c r="U330" i="7"/>
  <c r="J39" i="26" s="1"/>
  <c r="S330" i="7"/>
  <c r="J39" i="24" s="1"/>
  <c r="Y329" i="7"/>
  <c r="J38" i="27" s="1"/>
  <c r="AO329" i="7"/>
  <c r="J38" i="28" s="1"/>
  <c r="AO327" i="7"/>
  <c r="J36" i="28" s="1"/>
  <c r="Y327" i="7"/>
  <c r="J36" i="27" s="1"/>
  <c r="W327" i="7"/>
  <c r="J36" i="25" s="1"/>
  <c r="AO326" i="7"/>
  <c r="J35" i="28" s="1"/>
  <c r="Y326" i="7"/>
  <c r="J35" i="27" s="1"/>
  <c r="W326" i="7"/>
  <c r="J35" i="25" s="1"/>
  <c r="Y325" i="7"/>
  <c r="J34" i="27" s="1"/>
  <c r="W324" i="7"/>
  <c r="J33" i="25" s="1"/>
  <c r="AO324" i="7"/>
  <c r="J33" i="28" s="1"/>
  <c r="AO323" i="7"/>
  <c r="J32" i="28" s="1"/>
  <c r="Y323" i="7"/>
  <c r="J32" i="27" s="1"/>
  <c r="W323" i="7"/>
  <c r="J32" i="25" s="1"/>
  <c r="AO322" i="7"/>
  <c r="J31" i="28" s="1"/>
  <c r="W320" i="7"/>
  <c r="J29" i="25" s="1"/>
  <c r="Y319" i="7"/>
  <c r="J28" i="27" s="1"/>
  <c r="Y318" i="7"/>
  <c r="J27" i="27" s="1"/>
  <c r="AO317" i="7"/>
  <c r="J26" i="28" s="1"/>
  <c r="Y317" i="7"/>
  <c r="J26" i="27" s="1"/>
  <c r="W317" i="7"/>
  <c r="J26" i="25" s="1"/>
  <c r="AO316" i="7"/>
  <c r="J25" i="28" s="1"/>
  <c r="AO315" i="7"/>
  <c r="J24" i="28" s="1"/>
  <c r="Y315" i="7"/>
  <c r="J24" i="27" s="1"/>
  <c r="W315" i="7"/>
  <c r="J24" i="25" s="1"/>
  <c r="AR314" i="7"/>
  <c r="Y314" i="7"/>
  <c r="J23" i="27" s="1"/>
  <c r="AR313" i="7"/>
  <c r="AK313" i="7"/>
  <c r="AI313" i="7"/>
  <c r="AO313" i="7"/>
  <c r="J22" i="28" s="1"/>
  <c r="Y313" i="7"/>
  <c r="J22" i="27" s="1"/>
  <c r="W313" i="7"/>
  <c r="J22" i="25" s="1"/>
  <c r="AR312" i="7"/>
  <c r="AK312" i="7"/>
  <c r="AI312" i="7"/>
  <c r="W312" i="7"/>
  <c r="J21" i="25" s="1"/>
  <c r="AR311" i="7"/>
  <c r="AK311" i="7"/>
  <c r="AI311" i="7"/>
  <c r="AR310" i="7"/>
  <c r="AK310" i="7"/>
  <c r="AI310" i="7"/>
  <c r="Y310" i="7"/>
  <c r="J19" i="27" s="1"/>
  <c r="W310" i="7"/>
  <c r="J19" i="25" s="1"/>
  <c r="AI309" i="7"/>
  <c r="Y309" i="7"/>
  <c r="J18" i="27" s="1"/>
  <c r="AO309" i="7"/>
  <c r="J18" i="28" s="1"/>
  <c r="AI308" i="7"/>
  <c r="Y308" i="7"/>
  <c r="J17" i="27" s="1"/>
  <c r="AO308" i="7"/>
  <c r="J17" i="28" s="1"/>
  <c r="AK307" i="7"/>
  <c r="AI307" i="7"/>
  <c r="AR306" i="7"/>
  <c r="AK306" i="7"/>
  <c r="AI306" i="7"/>
  <c r="J15" i="26"/>
  <c r="AR305" i="7"/>
  <c r="AK305" i="7"/>
  <c r="AI305" i="7"/>
  <c r="AK304" i="7"/>
  <c r="AR304" i="7"/>
  <c r="AO304" i="7"/>
  <c r="J13" i="28" s="1"/>
  <c r="Y304" i="7"/>
  <c r="J13" i="27" s="1"/>
  <c r="W304" i="7"/>
  <c r="J13" i="25" s="1"/>
  <c r="AR303" i="7"/>
  <c r="AK303" i="7"/>
  <c r="AI303" i="7"/>
  <c r="AR302" i="7"/>
  <c r="AK302" i="7"/>
  <c r="AI302" i="7"/>
  <c r="Y302" i="7"/>
  <c r="J11" i="27" s="1"/>
  <c r="AR301" i="7"/>
  <c r="AK301" i="7"/>
  <c r="AI301" i="7"/>
  <c r="AK300" i="7"/>
  <c r="Y303" i="7" l="1"/>
  <c r="J12" i="27" s="1"/>
  <c r="J12" i="24"/>
  <c r="AO301" i="7"/>
  <c r="J10" i="28" s="1"/>
  <c r="Y301" i="7"/>
  <c r="J10" i="27" s="1"/>
  <c r="W307" i="7"/>
  <c r="J16" i="25" s="1"/>
  <c r="Y330" i="7"/>
  <c r="J39" i="27" s="1"/>
  <c r="W321" i="7"/>
  <c r="J30" i="25" s="1"/>
  <c r="AR307" i="7"/>
  <c r="AR309" i="7"/>
  <c r="Y307" i="7"/>
  <c r="J16" i="27" s="1"/>
  <c r="AO311" i="7"/>
  <c r="J20" i="28" s="1"/>
  <c r="W303" i="7"/>
  <c r="J12" i="25" s="1"/>
  <c r="AO303" i="7"/>
  <c r="J12" i="28" s="1"/>
  <c r="Y321" i="7"/>
  <c r="J30" i="27" s="1"/>
  <c r="Y320" i="7"/>
  <c r="J29" i="27" s="1"/>
  <c r="Y300" i="7"/>
  <c r="J9" i="27" s="1"/>
  <c r="AC315" i="7"/>
  <c r="AO305" i="7"/>
  <c r="J14" i="28" s="1"/>
  <c r="W325" i="7"/>
  <c r="J34" i="25" s="1"/>
  <c r="Q330" i="7"/>
  <c r="AO328" i="7"/>
  <c r="J37" i="28" s="1"/>
  <c r="J9" i="28"/>
  <c r="AO321" i="7"/>
  <c r="J30" i="28" s="1"/>
  <c r="Y322" i="7"/>
  <c r="J31" i="27" s="1"/>
  <c r="Y324" i="7"/>
  <c r="J33" i="27" s="1"/>
  <c r="Y311" i="7"/>
  <c r="J20" i="27" s="1"/>
  <c r="AO320" i="7"/>
  <c r="J29" i="28" s="1"/>
  <c r="Y328" i="7"/>
  <c r="J37" i="27" s="1"/>
  <c r="AI314" i="7"/>
  <c r="AK314" i="7"/>
  <c r="AO318" i="7"/>
  <c r="J27" i="28" s="1"/>
  <c r="AE315" i="7"/>
  <c r="S306" i="7" s="1"/>
  <c r="W316" i="7"/>
  <c r="J25" i="25" s="1"/>
  <c r="Y316" i="7"/>
  <c r="J25" i="27" s="1"/>
  <c r="AK308" i="7"/>
  <c r="W311" i="7"/>
  <c r="J20" i="25" s="1"/>
  <c r="AK309" i="7"/>
  <c r="W319" i="7"/>
  <c r="J28" i="25" s="1"/>
  <c r="W300" i="7"/>
  <c r="J9" i="25" s="1"/>
  <c r="AO302" i="7"/>
  <c r="J11" i="28" s="1"/>
  <c r="AO314" i="7"/>
  <c r="J23" i="28" s="1"/>
  <c r="W318" i="7"/>
  <c r="J27" i="25" s="1"/>
  <c r="AI304" i="7"/>
  <c r="AO310" i="7"/>
  <c r="J19" i="28" s="1"/>
  <c r="W305" i="7"/>
  <c r="J14" i="25" s="1"/>
  <c r="J16" i="28"/>
  <c r="AR308" i="7"/>
  <c r="W329" i="7"/>
  <c r="J38" i="25" s="1"/>
  <c r="W308" i="7"/>
  <c r="J17" i="25" s="1"/>
  <c r="W301" i="7"/>
  <c r="J10" i="25" s="1"/>
  <c r="AO312" i="7"/>
  <c r="J21" i="28" s="1"/>
  <c r="W322" i="7"/>
  <c r="J31" i="25" s="1"/>
  <c r="W309" i="7"/>
  <c r="J18" i="25" s="1"/>
  <c r="AO325" i="7"/>
  <c r="J34" i="28" s="1"/>
  <c r="Y312" i="7"/>
  <c r="J21" i="27" s="1"/>
  <c r="AO319" i="7"/>
  <c r="J28" i="28" s="1"/>
  <c r="W314" i="7"/>
  <c r="J23" i="25" s="1"/>
  <c r="W302" i="7"/>
  <c r="J11" i="25" s="1"/>
  <c r="W328" i="7"/>
  <c r="J37" i="25" s="1"/>
  <c r="Y305" i="7"/>
  <c r="J14" i="27" s="1"/>
  <c r="AI315" i="7" l="1"/>
  <c r="Q306" i="7"/>
  <c r="AO306" i="7" s="1"/>
  <c r="Y306" i="7"/>
  <c r="J15" i="27" s="1"/>
  <c r="J15" i="24"/>
  <c r="W330" i="7"/>
  <c r="J39" i="25" s="1"/>
  <c r="J39" i="9"/>
  <c r="AO330" i="7"/>
  <c r="J39" i="28" s="1"/>
  <c r="AR315" i="7"/>
  <c r="AK315" i="7"/>
  <c r="W306" i="7"/>
  <c r="J15" i="25" s="1"/>
  <c r="J15" i="28"/>
  <c r="J15" i="9" l="1"/>
  <c r="S372" i="7"/>
  <c r="S382" i="7" l="1"/>
  <c r="S385" i="7"/>
  <c r="Q265" i="7" l="1"/>
  <c r="Q267" i="7"/>
  <c r="AC253" i="7"/>
  <c r="AC252" i="7"/>
  <c r="AR253" i="7" s="1"/>
  <c r="U374" i="7" l="1"/>
  <c r="U586" i="7"/>
  <c r="U532" i="7"/>
  <c r="U477" i="7"/>
  <c r="U373" i="7"/>
  <c r="U167" i="7"/>
  <c r="AO167" i="7" s="1"/>
  <c r="S595" i="7" l="1"/>
  <c r="S463" i="7"/>
  <c r="Q433" i="7" l="1"/>
  <c r="Q595" i="7"/>
  <c r="Q541" i="7"/>
  <c r="Q486" i="7"/>
  <c r="Q382" i="7"/>
  <c r="Q273" i="7"/>
  <c r="Q160" i="7"/>
  <c r="Q98" i="7"/>
  <c r="AO98" i="7" s="1"/>
  <c r="Q151" i="7"/>
  <c r="AC363" i="7"/>
  <c r="Q439" i="7" l="1"/>
  <c r="S599" i="7"/>
  <c r="AI246" i="7"/>
  <c r="AK246" i="7"/>
  <c r="AI247" i="7"/>
  <c r="AK247" i="7"/>
  <c r="AI248" i="7"/>
  <c r="AK248" i="7"/>
  <c r="AC249" i="7"/>
  <c r="AK249" i="7"/>
  <c r="AI250" i="7"/>
  <c r="AK250" i="7"/>
  <c r="AI251" i="7"/>
  <c r="AK251" i="7"/>
  <c r="AI252" i="7"/>
  <c r="AK252" i="7"/>
  <c r="AG253" i="7"/>
  <c r="AC254" i="7"/>
  <c r="AR255" i="7" s="1"/>
  <c r="AI255" i="7"/>
  <c r="AK255" i="7"/>
  <c r="AI256" i="7"/>
  <c r="AK257" i="7"/>
  <c r="AI258" i="7"/>
  <c r="AK258" i="7"/>
  <c r="AI259" i="7"/>
  <c r="AK259" i="7"/>
  <c r="AG354" i="7"/>
  <c r="AI354" i="7"/>
  <c r="AR356" i="7"/>
  <c r="AI357" i="7"/>
  <c r="AK357" i="7"/>
  <c r="AR357" i="7"/>
  <c r="AI358" i="7"/>
  <c r="AK358" i="7"/>
  <c r="AR358" i="7"/>
  <c r="AI359" i="7"/>
  <c r="AK359" i="7"/>
  <c r="AR359" i="7"/>
  <c r="AE360" i="7"/>
  <c r="AI361" i="7"/>
  <c r="AK361" i="7"/>
  <c r="AR361" i="7"/>
  <c r="AE362" i="7"/>
  <c r="AE363" i="7"/>
  <c r="AR363" i="7" s="1"/>
  <c r="AI364" i="7"/>
  <c r="AK364" i="7"/>
  <c r="AR364" i="7"/>
  <c r="AK365" i="7"/>
  <c r="AE366" i="7"/>
  <c r="AE367" i="7"/>
  <c r="AI368" i="7"/>
  <c r="AK368" i="7"/>
  <c r="AR368" i="7"/>
  <c r="AI406" i="7"/>
  <c r="AK406" i="7"/>
  <c r="AR406" i="7"/>
  <c r="AI407" i="7"/>
  <c r="AK407" i="7"/>
  <c r="AR407" i="7"/>
  <c r="AI408" i="7"/>
  <c r="AK408" i="7"/>
  <c r="AR408" i="7"/>
  <c r="AC409" i="7"/>
  <c r="AI409" i="7" s="1"/>
  <c r="AK409" i="7"/>
  <c r="AI410" i="7"/>
  <c r="AK410" i="7"/>
  <c r="AR410" i="7"/>
  <c r="AI411" i="7"/>
  <c r="AK411" i="7"/>
  <c r="AR411" i="7"/>
  <c r="AE412" i="7"/>
  <c r="AI412" i="7" s="1"/>
  <c r="AC413" i="7"/>
  <c r="AE413" i="7"/>
  <c r="AG420" i="7"/>
  <c r="U411" i="7" s="1"/>
  <c r="AC414" i="7"/>
  <c r="AE414" i="7"/>
  <c r="AK414" i="7" s="1"/>
  <c r="AI415" i="7"/>
  <c r="AK415" i="7"/>
  <c r="AR415" i="7"/>
  <c r="AI416" i="7"/>
  <c r="AK416" i="7"/>
  <c r="AR416" i="7"/>
  <c r="AI417" i="7"/>
  <c r="AK417" i="7"/>
  <c r="AR417" i="7"/>
  <c r="AR418" i="7"/>
  <c r="AK418" i="7"/>
  <c r="AI419" i="7"/>
  <c r="AK419" i="7"/>
  <c r="AR419" i="7"/>
  <c r="S536" i="7"/>
  <c r="S581" i="7"/>
  <c r="S593" i="7"/>
  <c r="S527" i="7"/>
  <c r="S514" i="7"/>
  <c r="AK354" i="7" l="1"/>
  <c r="AR354" i="7"/>
  <c r="AI362" i="7"/>
  <c r="AI367" i="7"/>
  <c r="AR360" i="7"/>
  <c r="AI366" i="7"/>
  <c r="AI365" i="7"/>
  <c r="AR254" i="7"/>
  <c r="AG260" i="7"/>
  <c r="AI249" i="7"/>
  <c r="AR250" i="7"/>
  <c r="AR414" i="7"/>
  <c r="AI363" i="7"/>
  <c r="AR362" i="7"/>
  <c r="AI418" i="7"/>
  <c r="AK413" i="7"/>
  <c r="AR412" i="7"/>
  <c r="AI254" i="7"/>
  <c r="AK412" i="7"/>
  <c r="AK362" i="7"/>
  <c r="AI253" i="7"/>
  <c r="AI355" i="7"/>
  <c r="AR366" i="7"/>
  <c r="AK366" i="7"/>
  <c r="AK256" i="7"/>
  <c r="AI413" i="7"/>
  <c r="AK356" i="7"/>
  <c r="AI360" i="7"/>
  <c r="AR355" i="7"/>
  <c r="AR367" i="7"/>
  <c r="AK363" i="7"/>
  <c r="AK367" i="7"/>
  <c r="AI257" i="7"/>
  <c r="AK253" i="7"/>
  <c r="AC260" i="7"/>
  <c r="AI414" i="7"/>
  <c r="AK360" i="7"/>
  <c r="AK254" i="7"/>
  <c r="AR413" i="7"/>
  <c r="AG369" i="7"/>
  <c r="AE420" i="7"/>
  <c r="S411" i="7" s="1"/>
  <c r="AE369" i="7"/>
  <c r="S360" i="7" s="1"/>
  <c r="AC420" i="7"/>
  <c r="AC369" i="7"/>
  <c r="AR365" i="7"/>
  <c r="AR409" i="7"/>
  <c r="AI369" i="7" l="1"/>
  <c r="AR420" i="7"/>
  <c r="AI420" i="7"/>
  <c r="AK369" i="7"/>
  <c r="AK420" i="7"/>
  <c r="Q251" i="7"/>
  <c r="AI260" i="7"/>
  <c r="AR261" i="7"/>
  <c r="U251" i="7"/>
  <c r="Y251" i="7" s="1"/>
  <c r="AK260" i="7"/>
  <c r="AR369" i="7"/>
  <c r="AO252" i="7" l="1"/>
  <c r="W251" i="7"/>
  <c r="G40" i="24"/>
  <c r="G41" i="24"/>
  <c r="G42" i="24"/>
  <c r="E40" i="24"/>
  <c r="F43" i="24" l="1"/>
  <c r="E42" i="24" l="1"/>
  <c r="Y27" i="7" l="1"/>
  <c r="Y32" i="7"/>
  <c r="Y37" i="7"/>
  <c r="Y38" i="7"/>
  <c r="Y40" i="7"/>
  <c r="Y26" i="7"/>
  <c r="AO204" i="7" l="1"/>
  <c r="H24" i="28" s="1"/>
  <c r="U92" i="7"/>
  <c r="AO92" i="7" s="1"/>
  <c r="Y94" i="7"/>
  <c r="F33" i="27" s="1"/>
  <c r="E25" i="27"/>
  <c r="E30" i="27"/>
  <c r="E35" i="27"/>
  <c r="E36" i="27"/>
  <c r="E38" i="27"/>
  <c r="E24" i="27"/>
  <c r="S533" i="7"/>
  <c r="S478" i="7"/>
  <c r="S477" i="7"/>
  <c r="S425" i="7"/>
  <c r="S424" i="7"/>
  <c r="S374" i="7"/>
  <c r="S209" i="7"/>
  <c r="S151" i="7"/>
  <c r="Y31" i="7"/>
  <c r="E29" i="27" s="1"/>
  <c r="Y30" i="7"/>
  <c r="E28" i="27" s="1"/>
  <c r="S414" i="7"/>
  <c r="S406" i="7"/>
  <c r="S405" i="7"/>
  <c r="S427" i="7"/>
  <c r="S433" i="7"/>
  <c r="S436" i="7"/>
  <c r="S435" i="7" s="1"/>
  <c r="S410" i="7"/>
  <c r="S422" i="7"/>
  <c r="S417" i="7"/>
  <c r="S355" i="7"/>
  <c r="S354" i="7"/>
  <c r="Y354" i="7" s="1"/>
  <c r="S389" i="7"/>
  <c r="AO389" i="7" s="1"/>
  <c r="S368" i="7"/>
  <c r="S33" i="7" l="1"/>
  <c r="S36" i="7"/>
  <c r="Y36" i="7" s="1"/>
  <c r="E34" i="27" s="1"/>
  <c r="S487" i="7"/>
  <c r="S480" i="7"/>
  <c r="U434" i="7" l="1"/>
  <c r="U478" i="7"/>
  <c r="M29" i="26" s="1"/>
  <c r="U545" i="7"/>
  <c r="AO545" i="7" s="1"/>
  <c r="U585" i="7"/>
  <c r="O27" i="26" s="1"/>
  <c r="O23" i="26"/>
  <c r="K28" i="26"/>
  <c r="N28" i="26"/>
  <c r="O28" i="26"/>
  <c r="U569" i="7"/>
  <c r="O11" i="26" s="1"/>
  <c r="O30" i="26"/>
  <c r="O25" i="26"/>
  <c r="O26" i="26"/>
  <c r="O29" i="26"/>
  <c r="O32" i="26"/>
  <c r="O34" i="26"/>
  <c r="O35" i="26"/>
  <c r="O36" i="26"/>
  <c r="O38" i="26"/>
  <c r="O24" i="26"/>
  <c r="O13" i="26"/>
  <c r="O17" i="26"/>
  <c r="O18" i="26"/>
  <c r="O19" i="26"/>
  <c r="O20" i="26"/>
  <c r="O21" i="26"/>
  <c r="O22" i="26"/>
  <c r="O9" i="26"/>
  <c r="O16" i="26"/>
  <c r="O31" i="26"/>
  <c r="U591" i="7"/>
  <c r="O33" i="26" s="1"/>
  <c r="O37" i="26"/>
  <c r="U602" i="7"/>
  <c r="AO602" i="7" s="1"/>
  <c r="AG573" i="7"/>
  <c r="AG582" i="7" s="1"/>
  <c r="U572" i="7"/>
  <c r="O14" i="26" s="1"/>
  <c r="U541" i="7"/>
  <c r="N37" i="26" s="1"/>
  <c r="U515" i="7"/>
  <c r="N11" i="26" s="1"/>
  <c r="U527" i="7"/>
  <c r="N23" i="26" s="1"/>
  <c r="U12" i="7"/>
  <c r="E10" i="26" s="1"/>
  <c r="Y34" i="7"/>
  <c r="E32" i="27" s="1"/>
  <c r="U28" i="7"/>
  <c r="Y28" i="7" s="1"/>
  <c r="E26" i="27" s="1"/>
  <c r="N25" i="26"/>
  <c r="N26" i="26"/>
  <c r="N27" i="26"/>
  <c r="N29" i="26"/>
  <c r="N32" i="26"/>
  <c r="N34" i="26"/>
  <c r="N35" i="26"/>
  <c r="N36" i="26"/>
  <c r="N38" i="26"/>
  <c r="N24" i="26"/>
  <c r="N10" i="26"/>
  <c r="N13" i="26"/>
  <c r="N14" i="26"/>
  <c r="N17" i="26"/>
  <c r="N18" i="26"/>
  <c r="N21" i="26"/>
  <c r="N22" i="26"/>
  <c r="N9" i="26"/>
  <c r="N16" i="26"/>
  <c r="N31" i="26"/>
  <c r="N33" i="26"/>
  <c r="U544" i="7"/>
  <c r="N30" i="26"/>
  <c r="AG522" i="7"/>
  <c r="AG521" i="7"/>
  <c r="AG519" i="7"/>
  <c r="AG528" i="7" s="1"/>
  <c r="N20" i="26"/>
  <c r="N19" i="26"/>
  <c r="M25" i="26"/>
  <c r="M26" i="26"/>
  <c r="M27" i="26"/>
  <c r="M28" i="26"/>
  <c r="M30" i="26"/>
  <c r="M32" i="26"/>
  <c r="M34" i="26"/>
  <c r="M35" i="26"/>
  <c r="M36" i="26"/>
  <c r="M38" i="26"/>
  <c r="M24" i="26"/>
  <c r="M11" i="26"/>
  <c r="M13" i="26"/>
  <c r="M17" i="26"/>
  <c r="M18" i="26"/>
  <c r="M19" i="26"/>
  <c r="M20" i="26"/>
  <c r="M21" i="26"/>
  <c r="M22" i="26"/>
  <c r="M9" i="26"/>
  <c r="M14" i="26"/>
  <c r="U459" i="7"/>
  <c r="M10" i="26" s="1"/>
  <c r="M16" i="26"/>
  <c r="U480" i="7"/>
  <c r="M31" i="26" s="1"/>
  <c r="U482" i="7"/>
  <c r="M33" i="26" s="1"/>
  <c r="U486" i="7"/>
  <c r="M37" i="26" s="1"/>
  <c r="U489" i="7"/>
  <c r="U472" i="7"/>
  <c r="M23" i="26" s="1"/>
  <c r="U493" i="7"/>
  <c r="AG467" i="7"/>
  <c r="AG466" i="7"/>
  <c r="K31" i="26"/>
  <c r="U380" i="7"/>
  <c r="K35" i="26" s="1"/>
  <c r="K23" i="26"/>
  <c r="Y361" i="7"/>
  <c r="K16" i="27" s="1"/>
  <c r="L25" i="26"/>
  <c r="L26" i="26"/>
  <c r="L29" i="26"/>
  <c r="L30" i="26"/>
  <c r="L32" i="26"/>
  <c r="L33" i="26"/>
  <c r="L34" i="26"/>
  <c r="L35" i="26"/>
  <c r="L36" i="26"/>
  <c r="L38" i="26"/>
  <c r="L24" i="26"/>
  <c r="L13" i="26"/>
  <c r="L16" i="26"/>
  <c r="L18" i="26"/>
  <c r="L19" i="26"/>
  <c r="L20" i="26"/>
  <c r="L21" i="26"/>
  <c r="L23" i="26"/>
  <c r="K25" i="26"/>
  <c r="K26" i="26"/>
  <c r="K27" i="26"/>
  <c r="K29" i="26"/>
  <c r="K32" i="26"/>
  <c r="K33" i="26"/>
  <c r="K34" i="26"/>
  <c r="K36" i="26"/>
  <c r="K38" i="26"/>
  <c r="K24" i="26"/>
  <c r="K10" i="26"/>
  <c r="K14" i="26"/>
  <c r="K16" i="26"/>
  <c r="K17" i="26"/>
  <c r="K19" i="26"/>
  <c r="K20" i="26"/>
  <c r="K21" i="26"/>
  <c r="K22" i="26"/>
  <c r="K9" i="26"/>
  <c r="K37" i="26"/>
  <c r="U385" i="7"/>
  <c r="U356" i="7"/>
  <c r="K30" i="26"/>
  <c r="U358" i="7"/>
  <c r="U405" i="7"/>
  <c r="L9" i="26" s="1"/>
  <c r="U439" i="7"/>
  <c r="AO439" i="7" s="1"/>
  <c r="U427" i="7"/>
  <c r="L31" i="26" s="1"/>
  <c r="U413" i="7"/>
  <c r="L17" i="26" s="1"/>
  <c r="U424" i="7"/>
  <c r="L28" i="26" s="1"/>
  <c r="L37" i="26"/>
  <c r="U436" i="7"/>
  <c r="U407" i="7"/>
  <c r="L11" i="26" s="1"/>
  <c r="U423" i="7"/>
  <c r="L27" i="26" s="1"/>
  <c r="U410" i="7"/>
  <c r="L14" i="26" s="1"/>
  <c r="U406" i="7"/>
  <c r="L10" i="26" s="1"/>
  <c r="U418" i="7"/>
  <c r="L22" i="26" s="1"/>
  <c r="I25" i="26"/>
  <c r="I26" i="26"/>
  <c r="I27" i="26"/>
  <c r="I32" i="26"/>
  <c r="I34" i="26"/>
  <c r="I35" i="26"/>
  <c r="I36" i="26"/>
  <c r="I38" i="26"/>
  <c r="I24" i="26"/>
  <c r="I13" i="26"/>
  <c r="I14" i="26"/>
  <c r="I17" i="26"/>
  <c r="I18" i="26"/>
  <c r="I21" i="26"/>
  <c r="I22" i="26"/>
  <c r="I9" i="26"/>
  <c r="I10" i="26"/>
  <c r="I16" i="26"/>
  <c r="U267" i="7"/>
  <c r="I31" i="26" s="1"/>
  <c r="U269" i="7"/>
  <c r="I33" i="26" s="1"/>
  <c r="I37" i="26"/>
  <c r="I11" i="26"/>
  <c r="I28" i="26"/>
  <c r="I23" i="26"/>
  <c r="I29" i="26"/>
  <c r="I30" i="26"/>
  <c r="I20" i="26"/>
  <c r="I19" i="26"/>
  <c r="G9" i="26"/>
  <c r="G10" i="26"/>
  <c r="H26" i="26"/>
  <c r="H29" i="26"/>
  <c r="H32" i="26"/>
  <c r="H34" i="26"/>
  <c r="H35" i="26"/>
  <c r="H36" i="26"/>
  <c r="H37" i="26"/>
  <c r="H38" i="26"/>
  <c r="H24" i="26"/>
  <c r="H10" i="26"/>
  <c r="H11" i="26"/>
  <c r="H13" i="26"/>
  <c r="H14" i="26"/>
  <c r="H16" i="26"/>
  <c r="H17" i="26"/>
  <c r="H18" i="26"/>
  <c r="H19" i="26"/>
  <c r="H20" i="26"/>
  <c r="H21" i="26"/>
  <c r="H22" i="26"/>
  <c r="H9" i="26"/>
  <c r="H23" i="26"/>
  <c r="H31" i="26"/>
  <c r="U213" i="7"/>
  <c r="H33" i="26" s="1"/>
  <c r="U207" i="7"/>
  <c r="H27" i="26" s="1"/>
  <c r="U224" i="7"/>
  <c r="U208" i="7"/>
  <c r="H28" i="26" s="1"/>
  <c r="H30" i="26"/>
  <c r="AG195" i="7"/>
  <c r="AG201" i="7" s="1"/>
  <c r="U195" i="7" s="1"/>
  <c r="U205" i="7"/>
  <c r="H25" i="26" s="1"/>
  <c r="G25" i="26"/>
  <c r="G26" i="26"/>
  <c r="G31" i="26"/>
  <c r="G32" i="26"/>
  <c r="G33" i="26"/>
  <c r="G34" i="26"/>
  <c r="G35" i="26"/>
  <c r="G36" i="26"/>
  <c r="G38" i="26"/>
  <c r="G24" i="26"/>
  <c r="G13" i="26"/>
  <c r="G14" i="26"/>
  <c r="G16" i="26"/>
  <c r="G17" i="26"/>
  <c r="G19" i="26"/>
  <c r="G20" i="26"/>
  <c r="G22" i="26"/>
  <c r="F25" i="26"/>
  <c r="F26" i="26"/>
  <c r="F27" i="26"/>
  <c r="F32" i="26"/>
  <c r="F34" i="26"/>
  <c r="F35" i="26"/>
  <c r="F36" i="26"/>
  <c r="F38" i="26"/>
  <c r="F24" i="26"/>
  <c r="F13" i="26"/>
  <c r="F14" i="26"/>
  <c r="F16" i="26"/>
  <c r="F17" i="26"/>
  <c r="F18" i="26"/>
  <c r="F19" i="26"/>
  <c r="F20" i="26"/>
  <c r="F21" i="26"/>
  <c r="F22" i="26"/>
  <c r="F9" i="26"/>
  <c r="E25" i="26"/>
  <c r="E27" i="26"/>
  <c r="E29" i="26"/>
  <c r="E30" i="26"/>
  <c r="E34" i="26"/>
  <c r="E35" i="26"/>
  <c r="E36" i="26"/>
  <c r="E37" i="26"/>
  <c r="E38" i="26"/>
  <c r="E24" i="26"/>
  <c r="E11" i="26"/>
  <c r="E13" i="26"/>
  <c r="E14" i="26"/>
  <c r="E17" i="26"/>
  <c r="E18" i="26"/>
  <c r="E19" i="26"/>
  <c r="E20" i="26"/>
  <c r="E21" i="26"/>
  <c r="E22" i="26"/>
  <c r="E23" i="26"/>
  <c r="E9" i="26"/>
  <c r="G18" i="26"/>
  <c r="G37" i="26"/>
  <c r="G28" i="26"/>
  <c r="G27" i="26"/>
  <c r="G11" i="26"/>
  <c r="G29" i="26"/>
  <c r="G30" i="26"/>
  <c r="G23" i="26"/>
  <c r="U144" i="7"/>
  <c r="G21" i="26" s="1"/>
  <c r="U71" i="7"/>
  <c r="F10" i="26" s="1"/>
  <c r="F31" i="26"/>
  <c r="F37" i="26"/>
  <c r="U103" i="7"/>
  <c r="U72" i="7"/>
  <c r="U89" i="7"/>
  <c r="AO89" i="7" s="1"/>
  <c r="U84" i="7"/>
  <c r="F23" i="26" s="1"/>
  <c r="U90" i="7"/>
  <c r="F29" i="26" s="1"/>
  <c r="U105" i="7"/>
  <c r="AO105" i="7" s="1"/>
  <c r="AG76" i="7"/>
  <c r="AG82" i="7" s="1"/>
  <c r="F33" i="26"/>
  <c r="Q22" i="26" l="1"/>
  <c r="R22" i="26" s="1"/>
  <c r="Q23" i="26"/>
  <c r="R23" i="26" s="1"/>
  <c r="Q21" i="26"/>
  <c r="R21" i="26" s="1"/>
  <c r="Q36" i="26"/>
  <c r="R36" i="26" s="1"/>
  <c r="Q37" i="26"/>
  <c r="R37" i="26" s="1"/>
  <c r="Q34" i="26"/>
  <c r="R34" i="26" s="1"/>
  <c r="Q20" i="26"/>
  <c r="R20" i="26" s="1"/>
  <c r="Q35" i="26"/>
  <c r="R35" i="26" s="1"/>
  <c r="Q19" i="26"/>
  <c r="R19" i="26" s="1"/>
  <c r="Q18" i="26"/>
  <c r="R18" i="26" s="1"/>
  <c r="Q29" i="26"/>
  <c r="R29" i="26" s="1"/>
  <c r="Q17" i="26"/>
  <c r="R17" i="26" s="1"/>
  <c r="Q10" i="26"/>
  <c r="R10" i="26" s="1"/>
  <c r="Q25" i="26"/>
  <c r="R25" i="26" s="1"/>
  <c r="Q27" i="26"/>
  <c r="R27" i="26" s="1"/>
  <c r="Q24" i="26"/>
  <c r="R24" i="26" s="1"/>
  <c r="Q14" i="26"/>
  <c r="R14" i="26" s="1"/>
  <c r="Q9" i="26"/>
  <c r="R9" i="26" s="1"/>
  <c r="Q38" i="26"/>
  <c r="R38" i="26" s="1"/>
  <c r="K13" i="26"/>
  <c r="Q13" i="26" s="1"/>
  <c r="R13" i="26" s="1"/>
  <c r="K11" i="26"/>
  <c r="U384" i="7"/>
  <c r="K39" i="26" s="1"/>
  <c r="AO385" i="7"/>
  <c r="F30" i="26"/>
  <c r="Q30" i="26" s="1"/>
  <c r="R30" i="26" s="1"/>
  <c r="U100" i="7"/>
  <c r="AO103" i="7"/>
  <c r="F11" i="26"/>
  <c r="AO72" i="7"/>
  <c r="E32" i="26"/>
  <c r="Q32" i="26" s="1"/>
  <c r="R32" i="26" s="1"/>
  <c r="E26" i="26"/>
  <c r="Q26" i="26" s="1"/>
  <c r="R26" i="26" s="1"/>
  <c r="F28" i="26"/>
  <c r="AG473" i="7"/>
  <c r="U464" i="7" s="1"/>
  <c r="M15" i="26" s="1"/>
  <c r="AG147" i="7"/>
  <c r="U138" i="7" s="1"/>
  <c r="Q11" i="26" l="1"/>
  <c r="R11" i="26" s="1"/>
  <c r="AO100" i="7"/>
  <c r="Y100" i="7"/>
  <c r="F39" i="26"/>
  <c r="X91" i="7"/>
  <c r="AN91" i="7"/>
  <c r="E16" i="26"/>
  <c r="Q16" i="26" s="1"/>
  <c r="R16" i="26" s="1"/>
  <c r="E28" i="26"/>
  <c r="Q28" i="26" s="1"/>
  <c r="R28" i="26" s="1"/>
  <c r="U33" i="7"/>
  <c r="U35" i="7"/>
  <c r="E33" i="26" l="1"/>
  <c r="Q33" i="26" s="1"/>
  <c r="R33" i="26" s="1"/>
  <c r="Y35" i="7"/>
  <c r="E33" i="27" s="1"/>
  <c r="E31" i="26"/>
  <c r="Q31" i="26" s="1"/>
  <c r="R31" i="26" s="1"/>
  <c r="Y33" i="7"/>
  <c r="E31" i="27" s="1"/>
  <c r="W27" i="7"/>
  <c r="W28" i="7"/>
  <c r="E26" i="25" s="1"/>
  <c r="W32" i="7"/>
  <c r="W36" i="7"/>
  <c r="E34" i="25" s="1"/>
  <c r="W37" i="7"/>
  <c r="E35" i="25" s="1"/>
  <c r="W38" i="7"/>
  <c r="E36" i="25" s="1"/>
  <c r="W23" i="7"/>
  <c r="E21" i="25" s="1"/>
  <c r="W72" i="7"/>
  <c r="F11" i="25" s="1"/>
  <c r="W75" i="7"/>
  <c r="W78" i="7"/>
  <c r="W79" i="7"/>
  <c r="F18" i="25" s="1"/>
  <c r="W82" i="7"/>
  <c r="F21" i="25" s="1"/>
  <c r="W83" i="7"/>
  <c r="W86" i="7"/>
  <c r="F25" i="25" s="1"/>
  <c r="W88" i="7"/>
  <c r="F27" i="25" s="1"/>
  <c r="W93" i="7"/>
  <c r="F32" i="25" s="1"/>
  <c r="W94" i="7"/>
  <c r="F33" i="25" s="1"/>
  <c r="W95" i="7"/>
  <c r="F34" i="25" s="1"/>
  <c r="W97" i="7"/>
  <c r="F36" i="25" s="1"/>
  <c r="W99" i="7"/>
  <c r="F38" i="25" s="1"/>
  <c r="W136" i="7"/>
  <c r="G13" i="25" s="1"/>
  <c r="W143" i="7"/>
  <c r="G20" i="25" s="1"/>
  <c r="W145" i="7"/>
  <c r="G22" i="25" s="1"/>
  <c r="W148" i="7"/>
  <c r="W149" i="7"/>
  <c r="G26" i="25" s="1"/>
  <c r="W154" i="7"/>
  <c r="G31" i="25" s="1"/>
  <c r="W155" i="7"/>
  <c r="G32" i="25" s="1"/>
  <c r="W156" i="7"/>
  <c r="G33" i="25" s="1"/>
  <c r="W157" i="7"/>
  <c r="G34" i="25" s="1"/>
  <c r="W158" i="7"/>
  <c r="G35" i="25" s="1"/>
  <c r="W159" i="7"/>
  <c r="G36" i="25" s="1"/>
  <c r="W161" i="7"/>
  <c r="G38" i="25" s="1"/>
  <c r="W193" i="7"/>
  <c r="W197" i="7"/>
  <c r="H17" i="25" s="1"/>
  <c r="W200" i="7"/>
  <c r="H20" i="25" s="1"/>
  <c r="W201" i="7"/>
  <c r="W202" i="7"/>
  <c r="W206" i="7"/>
  <c r="H26" i="25" s="1"/>
  <c r="W214" i="7"/>
  <c r="H34" i="25" s="1"/>
  <c r="W215" i="7"/>
  <c r="H35" i="25" s="1"/>
  <c r="W216" i="7"/>
  <c r="H36" i="25" s="1"/>
  <c r="W218" i="7"/>
  <c r="H38" i="25" s="1"/>
  <c r="W249" i="7"/>
  <c r="I13" i="25" s="1"/>
  <c r="W258" i="7"/>
  <c r="I22" i="25" s="1"/>
  <c r="W262" i="7"/>
  <c r="I26" i="25" s="1"/>
  <c r="W268" i="7"/>
  <c r="W269" i="7"/>
  <c r="I33" i="25" s="1"/>
  <c r="W271" i="7"/>
  <c r="I35" i="25" s="1"/>
  <c r="W272" i="7"/>
  <c r="W358" i="7"/>
  <c r="K13" i="25" s="1"/>
  <c r="W362" i="7"/>
  <c r="K17" i="25" s="1"/>
  <c r="W364" i="7"/>
  <c r="K19" i="25" s="1"/>
  <c r="W367" i="7"/>
  <c r="K22" i="25" s="1"/>
  <c r="W370" i="7"/>
  <c r="K25" i="25" s="1"/>
  <c r="W372" i="7"/>
  <c r="K27" i="25" s="1"/>
  <c r="W377" i="7"/>
  <c r="K32" i="25" s="1"/>
  <c r="W378" i="7"/>
  <c r="K33" i="25" s="1"/>
  <c r="W379" i="7"/>
  <c r="K34" i="25" s="1"/>
  <c r="W381" i="7"/>
  <c r="W383" i="7"/>
  <c r="W414" i="7"/>
  <c r="L18" i="25" s="1"/>
  <c r="W415" i="7"/>
  <c r="L19" i="25" s="1"/>
  <c r="W417" i="7"/>
  <c r="L21" i="25" s="1"/>
  <c r="W421" i="7"/>
  <c r="L25" i="25" s="1"/>
  <c r="W422" i="7"/>
  <c r="L26" i="25" s="1"/>
  <c r="W428" i="7"/>
  <c r="L32" i="25" s="1"/>
  <c r="W429" i="7"/>
  <c r="L33" i="25" s="1"/>
  <c r="W430" i="7"/>
  <c r="L34" i="25" s="1"/>
  <c r="W431" i="7"/>
  <c r="L35" i="25" s="1"/>
  <c r="W432" i="7"/>
  <c r="L36" i="25" s="1"/>
  <c r="W434" i="7"/>
  <c r="L38" i="25" s="1"/>
  <c r="W462" i="7"/>
  <c r="M13" i="25" s="1"/>
  <c r="W469" i="7"/>
  <c r="M20" i="25" s="1"/>
  <c r="W471" i="7"/>
  <c r="M22" i="25" s="1"/>
  <c r="W474" i="7"/>
  <c r="M25" i="25" s="1"/>
  <c r="W475" i="7"/>
  <c r="M26" i="25" s="1"/>
  <c r="W481" i="7"/>
  <c r="M32" i="25" s="1"/>
  <c r="W482" i="7"/>
  <c r="M33" i="25" s="1"/>
  <c r="W483" i="7"/>
  <c r="M34" i="25" s="1"/>
  <c r="W484" i="7"/>
  <c r="M35" i="25" s="1"/>
  <c r="W485" i="7"/>
  <c r="M36" i="25" s="1"/>
  <c r="W487" i="7"/>
  <c r="M38" i="25" s="1"/>
  <c r="W537" i="7"/>
  <c r="N33" i="25" s="1"/>
  <c r="W540" i="7"/>
  <c r="N36" i="25" s="1"/>
  <c r="W542" i="7"/>
  <c r="N38" i="25" s="1"/>
  <c r="W528" i="7"/>
  <c r="N24" i="25" s="1"/>
  <c r="W517" i="7"/>
  <c r="N13" i="25" s="1"/>
  <c r="W521" i="7"/>
  <c r="N17" i="25" s="1"/>
  <c r="W522" i="7"/>
  <c r="N18" i="25" s="1"/>
  <c r="W525" i="7"/>
  <c r="N21" i="25" s="1"/>
  <c r="W526" i="7"/>
  <c r="N22" i="25" s="1"/>
  <c r="W583" i="7"/>
  <c r="O25" i="25" s="1"/>
  <c r="W584" i="7"/>
  <c r="O26" i="25" s="1"/>
  <c r="W588" i="7"/>
  <c r="O30" i="25" s="1"/>
  <c r="W589" i="7"/>
  <c r="O31" i="25" s="1"/>
  <c r="W590" i="7"/>
  <c r="O32" i="25" s="1"/>
  <c r="W591" i="7"/>
  <c r="O33" i="25" s="1"/>
  <c r="W592" i="7"/>
  <c r="O34" i="25" s="1"/>
  <c r="W593" i="7"/>
  <c r="O35" i="25" s="1"/>
  <c r="W594" i="7"/>
  <c r="O36" i="25" s="1"/>
  <c r="W596" i="7"/>
  <c r="O38" i="25" s="1"/>
  <c r="W571" i="7"/>
  <c r="O13" i="25" s="1"/>
  <c r="W575" i="7"/>
  <c r="O17" i="25" s="1"/>
  <c r="W578" i="7"/>
  <c r="O20" i="25" s="1"/>
  <c r="W580" i="7"/>
  <c r="O22" i="25" s="1"/>
  <c r="K36" i="25"/>
  <c r="K38" i="25"/>
  <c r="I32" i="25"/>
  <c r="I36" i="25"/>
  <c r="H13" i="25"/>
  <c r="H21" i="25"/>
  <c r="H22" i="25"/>
  <c r="G25" i="25"/>
  <c r="G17" i="25"/>
  <c r="F14" i="25"/>
  <c r="F17" i="25"/>
  <c r="F22" i="25"/>
  <c r="S42" i="7"/>
  <c r="E25" i="25"/>
  <c r="E30" i="25"/>
  <c r="Q36" i="25" l="1"/>
  <c r="R36" i="25" s="1"/>
  <c r="Y42" i="7"/>
  <c r="W42" i="7"/>
  <c r="AO38" i="7"/>
  <c r="W89" i="7"/>
  <c r="F28" i="25" s="1"/>
  <c r="N31" i="24"/>
  <c r="W533" i="7"/>
  <c r="N29" i="25" s="1"/>
  <c r="AE521" i="7"/>
  <c r="F28" i="24"/>
  <c r="F10" i="24"/>
  <c r="W524" i="7"/>
  <c r="N20" i="25" s="1"/>
  <c r="O38" i="24"/>
  <c r="N38" i="24"/>
  <c r="M38" i="24"/>
  <c r="L38" i="24"/>
  <c r="K38" i="24"/>
  <c r="I38" i="24"/>
  <c r="H38" i="24"/>
  <c r="G38" i="24"/>
  <c r="F38" i="24"/>
  <c r="O36" i="24"/>
  <c r="N36" i="24"/>
  <c r="M36" i="24"/>
  <c r="L36" i="24"/>
  <c r="K36" i="24"/>
  <c r="I36" i="24"/>
  <c r="H36" i="24"/>
  <c r="G36" i="24"/>
  <c r="F36" i="24"/>
  <c r="E36" i="24"/>
  <c r="O35" i="24"/>
  <c r="M35" i="24"/>
  <c r="L35" i="24"/>
  <c r="K35" i="24"/>
  <c r="I35" i="24"/>
  <c r="H35" i="24"/>
  <c r="G35" i="24"/>
  <c r="E35" i="24"/>
  <c r="O34" i="24"/>
  <c r="N34" i="24"/>
  <c r="M34" i="24"/>
  <c r="L34" i="24"/>
  <c r="K34" i="24"/>
  <c r="H34" i="24"/>
  <c r="G34" i="24"/>
  <c r="F34" i="24"/>
  <c r="E34" i="24"/>
  <c r="O33" i="24"/>
  <c r="N33" i="24"/>
  <c r="M33" i="24"/>
  <c r="L33" i="24"/>
  <c r="K33" i="24"/>
  <c r="I33" i="24"/>
  <c r="H33" i="24"/>
  <c r="G33" i="24"/>
  <c r="F33" i="24"/>
  <c r="E33" i="24"/>
  <c r="O32" i="24"/>
  <c r="M32" i="24"/>
  <c r="L32" i="24"/>
  <c r="K32" i="24"/>
  <c r="I32" i="24"/>
  <c r="G32" i="24"/>
  <c r="F32" i="24"/>
  <c r="E32" i="24"/>
  <c r="O31" i="24"/>
  <c r="L31" i="24"/>
  <c r="H31" i="24"/>
  <c r="G31" i="24"/>
  <c r="O30" i="24"/>
  <c r="M30" i="24"/>
  <c r="L30" i="24"/>
  <c r="K30" i="24"/>
  <c r="H30" i="24"/>
  <c r="G30" i="24"/>
  <c r="E30" i="24"/>
  <c r="F29" i="24"/>
  <c r="O28" i="24"/>
  <c r="N28" i="24"/>
  <c r="M27" i="24"/>
  <c r="L27" i="24"/>
  <c r="K27" i="24"/>
  <c r="H27" i="24"/>
  <c r="G27" i="24"/>
  <c r="F27" i="24"/>
  <c r="O26" i="24"/>
  <c r="N26" i="24"/>
  <c r="M26" i="24"/>
  <c r="L26" i="24"/>
  <c r="I26" i="24"/>
  <c r="H26" i="24"/>
  <c r="G26" i="24"/>
  <c r="E26" i="24"/>
  <c r="O25" i="24"/>
  <c r="M25" i="24"/>
  <c r="L25" i="24"/>
  <c r="K25" i="24"/>
  <c r="H25" i="24"/>
  <c r="G25" i="24"/>
  <c r="F25" i="24"/>
  <c r="E25" i="24"/>
  <c r="O24" i="24"/>
  <c r="N24" i="24"/>
  <c r="M24" i="24"/>
  <c r="K24" i="24"/>
  <c r="I24" i="24"/>
  <c r="H24" i="24"/>
  <c r="F24" i="24"/>
  <c r="E24" i="24"/>
  <c r="M23" i="24"/>
  <c r="H23" i="24"/>
  <c r="G23" i="24"/>
  <c r="E23" i="24"/>
  <c r="O22" i="24"/>
  <c r="N22" i="24"/>
  <c r="M22" i="24"/>
  <c r="L22" i="24"/>
  <c r="K22" i="24"/>
  <c r="I22" i="24"/>
  <c r="H22" i="24"/>
  <c r="G22" i="24"/>
  <c r="F22" i="24"/>
  <c r="N21" i="24"/>
  <c r="M21" i="24"/>
  <c r="L21" i="24"/>
  <c r="H21" i="24"/>
  <c r="G21" i="24"/>
  <c r="F21" i="24"/>
  <c r="E21" i="24"/>
  <c r="O20" i="24"/>
  <c r="M20" i="24"/>
  <c r="H20" i="24"/>
  <c r="G20" i="24"/>
  <c r="E20" i="24"/>
  <c r="L19" i="24"/>
  <c r="K19" i="24"/>
  <c r="I19" i="24"/>
  <c r="F19" i="24"/>
  <c r="N18" i="24"/>
  <c r="M18" i="24"/>
  <c r="L18" i="24"/>
  <c r="I18" i="24"/>
  <c r="G18" i="24"/>
  <c r="F18" i="24"/>
  <c r="O17" i="24"/>
  <c r="N17" i="24"/>
  <c r="L17" i="24"/>
  <c r="K17" i="24"/>
  <c r="I17" i="24"/>
  <c r="H17" i="24"/>
  <c r="G17" i="24"/>
  <c r="F17" i="24"/>
  <c r="N16" i="24"/>
  <c r="K16" i="24"/>
  <c r="H16" i="24"/>
  <c r="F14" i="24"/>
  <c r="O13" i="24"/>
  <c r="N13" i="24"/>
  <c r="M13" i="24"/>
  <c r="L13" i="24"/>
  <c r="K13" i="24"/>
  <c r="I13" i="24"/>
  <c r="H13" i="24"/>
  <c r="G13" i="24"/>
  <c r="M11" i="24"/>
  <c r="L11" i="24"/>
  <c r="H11" i="24"/>
  <c r="F11" i="24"/>
  <c r="S273" i="7"/>
  <c r="I37" i="24" s="1"/>
  <c r="S217" i="7"/>
  <c r="G37" i="24"/>
  <c r="F37" i="24"/>
  <c r="E16" i="24"/>
  <c r="S567" i="7"/>
  <c r="O9" i="24" s="1"/>
  <c r="O10" i="24"/>
  <c r="W576" i="7"/>
  <c r="O18" i="25" s="1"/>
  <c r="O37" i="24"/>
  <c r="S598" i="7"/>
  <c r="S569" i="7"/>
  <c r="S585" i="7"/>
  <c r="W585" i="7" s="1"/>
  <c r="O27" i="25" s="1"/>
  <c r="O29" i="24"/>
  <c r="S579" i="7"/>
  <c r="O19" i="24"/>
  <c r="S572" i="7"/>
  <c r="O14" i="24" s="1"/>
  <c r="L24" i="24"/>
  <c r="K20" i="24"/>
  <c r="Q33" i="24" l="1"/>
  <c r="R33" i="24" s="1"/>
  <c r="Q36" i="24"/>
  <c r="R36" i="24" s="1"/>
  <c r="N20" i="24"/>
  <c r="W87" i="7"/>
  <c r="F26" i="25" s="1"/>
  <c r="E37" i="24"/>
  <c r="Y39" i="7"/>
  <c r="E37" i="27" s="1"/>
  <c r="S597" i="7"/>
  <c r="L20" i="24"/>
  <c r="W416" i="7"/>
  <c r="L20" i="25" s="1"/>
  <c r="O21" i="24"/>
  <c r="W579" i="7"/>
  <c r="O21" i="25" s="1"/>
  <c r="O16" i="24"/>
  <c r="W574" i="7"/>
  <c r="O16" i="25" s="1"/>
  <c r="F20" i="24"/>
  <c r="W81" i="7"/>
  <c r="F20" i="25" s="1"/>
  <c r="O23" i="24"/>
  <c r="W581" i="7"/>
  <c r="O23" i="25" s="1"/>
  <c r="N19" i="24"/>
  <c r="W523" i="7"/>
  <c r="N19" i="25" s="1"/>
  <c r="O11" i="24"/>
  <c r="W569" i="7"/>
  <c r="O11" i="25" s="1"/>
  <c r="H37" i="24"/>
  <c r="W217" i="7"/>
  <c r="H37" i="25" s="1"/>
  <c r="N32" i="24"/>
  <c r="W536" i="7"/>
  <c r="N32" i="25" s="1"/>
  <c r="O18" i="24"/>
  <c r="O27" i="24"/>
  <c r="N23" i="24"/>
  <c r="K37" i="24"/>
  <c r="K28" i="24"/>
  <c r="K23" i="24"/>
  <c r="K26" i="24"/>
  <c r="K31" i="24"/>
  <c r="I20" i="24"/>
  <c r="L10" i="24"/>
  <c r="L9" i="24"/>
  <c r="L23" i="24"/>
  <c r="L28" i="24"/>
  <c r="L29" i="24"/>
  <c r="L37" i="24"/>
  <c r="S544" i="7"/>
  <c r="AO544" i="7" s="1"/>
  <c r="N37" i="24"/>
  <c r="S518" i="7"/>
  <c r="I11" i="24"/>
  <c r="I30" i="24"/>
  <c r="I28" i="24"/>
  <c r="I23" i="24"/>
  <c r="I14" i="24"/>
  <c r="Q20" i="24" l="1"/>
  <c r="R20" i="24" s="1"/>
  <c r="G19" i="24"/>
  <c r="W142" i="7"/>
  <c r="G19" i="25" s="1"/>
  <c r="K29" i="24"/>
  <c r="W374" i="7"/>
  <c r="K29" i="25" s="1"/>
  <c r="N30" i="24"/>
  <c r="W534" i="7"/>
  <c r="N30" i="25" s="1"/>
  <c r="N14" i="24"/>
  <c r="W518" i="7"/>
  <c r="N14" i="25" s="1"/>
  <c r="L16" i="24"/>
  <c r="W412" i="7"/>
  <c r="L16" i="25" s="1"/>
  <c r="K21" i="24"/>
  <c r="W366" i="7"/>
  <c r="K21" i="25" s="1"/>
  <c r="N11" i="24"/>
  <c r="W515" i="7"/>
  <c r="N11" i="25" s="1"/>
  <c r="L14" i="24"/>
  <c r="W410" i="7"/>
  <c r="L14" i="25" s="1"/>
  <c r="K14" i="24"/>
  <c r="W359" i="7"/>
  <c r="K14" i="25" s="1"/>
  <c r="K11" i="24"/>
  <c r="W356" i="7"/>
  <c r="K11" i="25" s="1"/>
  <c r="S276" i="7" l="1"/>
  <c r="S263" i="7"/>
  <c r="I27" i="24" s="1"/>
  <c r="I25" i="24" l="1"/>
  <c r="W261" i="7"/>
  <c r="I25" i="25" s="1"/>
  <c r="G11" i="24"/>
  <c r="S84" i="7"/>
  <c r="AO84" i="7" s="1"/>
  <c r="K9" i="24"/>
  <c r="K10" i="24"/>
  <c r="AE474" i="7"/>
  <c r="S459" i="7"/>
  <c r="M10" i="24" s="1"/>
  <c r="S458" i="7"/>
  <c r="M9" i="24" s="1"/>
  <c r="S513" i="7"/>
  <c r="N9" i="24" s="1"/>
  <c r="N29" i="24"/>
  <c r="N10" i="24"/>
  <c r="S531" i="7"/>
  <c r="S529" i="7"/>
  <c r="AE470" i="7"/>
  <c r="M31" i="24"/>
  <c r="S466" i="7"/>
  <c r="AE462" i="7"/>
  <c r="AE467" i="7"/>
  <c r="AE466" i="7"/>
  <c r="M29" i="24"/>
  <c r="S489" i="7"/>
  <c r="S486" i="7"/>
  <c r="M37" i="24" s="1"/>
  <c r="Q37" i="24" s="1"/>
  <c r="R37" i="24" s="1"/>
  <c r="M28" i="24"/>
  <c r="M14" i="24"/>
  <c r="AE468" i="7"/>
  <c r="S245" i="7"/>
  <c r="S246" i="7"/>
  <c r="I10" i="24" s="1"/>
  <c r="S280" i="7"/>
  <c r="AO280" i="7" s="1"/>
  <c r="I16" i="24"/>
  <c r="I29" i="24"/>
  <c r="S257" i="7"/>
  <c r="I31" i="24"/>
  <c r="S190" i="7"/>
  <c r="H10" i="24" s="1"/>
  <c r="S189" i="7"/>
  <c r="S220" i="7"/>
  <c r="S221" i="7"/>
  <c r="AO221" i="7" s="1"/>
  <c r="H28" i="24"/>
  <c r="AE194" i="7"/>
  <c r="AE195" i="7"/>
  <c r="S133" i="7"/>
  <c r="G10" i="24" s="1"/>
  <c r="S132" i="7"/>
  <c r="G9" i="24" s="1"/>
  <c r="G24" i="24"/>
  <c r="Q24" i="24" s="1"/>
  <c r="R24" i="24" s="1"/>
  <c r="G28" i="24"/>
  <c r="S163" i="7"/>
  <c r="AO163" i="7" s="1"/>
  <c r="G29" i="24"/>
  <c r="AE141" i="7"/>
  <c r="AE147" i="7" s="1"/>
  <c r="S138" i="7" s="1"/>
  <c r="Y138" i="7" s="1"/>
  <c r="S164" i="7"/>
  <c r="AO164" i="7" s="1"/>
  <c r="S137" i="7"/>
  <c r="G14" i="24" s="1"/>
  <c r="I9" i="24" l="1"/>
  <c r="Y245" i="7"/>
  <c r="H9" i="24"/>
  <c r="AO189" i="7"/>
  <c r="H9" i="28" s="1"/>
  <c r="K18" i="24"/>
  <c r="W363" i="7"/>
  <c r="K18" i="25" s="1"/>
  <c r="M19" i="24"/>
  <c r="W468" i="7"/>
  <c r="M19" i="25" s="1"/>
  <c r="N25" i="24"/>
  <c r="Q25" i="24" s="1"/>
  <c r="R25" i="24" s="1"/>
  <c r="W529" i="7"/>
  <c r="N25" i="25" s="1"/>
  <c r="N27" i="24"/>
  <c r="W531" i="7"/>
  <c r="N27" i="25" s="1"/>
  <c r="H29" i="24"/>
  <c r="W209" i="7"/>
  <c r="H29" i="25" s="1"/>
  <c r="E17" i="24"/>
  <c r="W19" i="7"/>
  <c r="E17" i="25" s="1"/>
  <c r="N35" i="24"/>
  <c r="W539" i="7"/>
  <c r="N35" i="25" s="1"/>
  <c r="F23" i="24"/>
  <c r="Q23" i="24" s="1"/>
  <c r="R23" i="24" s="1"/>
  <c r="W84" i="7"/>
  <c r="F23" i="25" s="1"/>
  <c r="H32" i="24"/>
  <c r="Q32" i="24" s="1"/>
  <c r="R32" i="24" s="1"/>
  <c r="W212" i="7"/>
  <c r="H32" i="25" s="1"/>
  <c r="G16" i="24"/>
  <c r="W139" i="7"/>
  <c r="G16" i="25" s="1"/>
  <c r="E11" i="24"/>
  <c r="Q11" i="24" s="1"/>
  <c r="R11" i="24" s="1"/>
  <c r="W13" i="7"/>
  <c r="E11" i="25" s="1"/>
  <c r="H18" i="24"/>
  <c r="W198" i="7"/>
  <c r="H18" i="25" s="1"/>
  <c r="I34" i="24"/>
  <c r="Q34" i="24" s="1"/>
  <c r="R34" i="24" s="1"/>
  <c r="W270" i="7"/>
  <c r="I34" i="25" s="1"/>
  <c r="H14" i="24"/>
  <c r="W194" i="7"/>
  <c r="H14" i="25" s="1"/>
  <c r="I21" i="24"/>
  <c r="Q21" i="24" s="1"/>
  <c r="R21" i="24" s="1"/>
  <c r="W257" i="7"/>
  <c r="I21" i="25" s="1"/>
  <c r="M17" i="24"/>
  <c r="W466" i="7"/>
  <c r="M17" i="25" s="1"/>
  <c r="F26" i="24"/>
  <c r="Q26" i="24" s="1"/>
  <c r="R26" i="24" s="1"/>
  <c r="S70" i="7"/>
  <c r="F9" i="24" s="1"/>
  <c r="AE78" i="7"/>
  <c r="AE82" i="7" s="1"/>
  <c r="AC78" i="7"/>
  <c r="S96" i="7"/>
  <c r="AO96" i="7" s="1"/>
  <c r="AO91" i="7"/>
  <c r="S74" i="7"/>
  <c r="AO74" i="7" s="1"/>
  <c r="Q17" i="24" l="1"/>
  <c r="R17" i="24" s="1"/>
  <c r="S76" i="7"/>
  <c r="AK82" i="7"/>
  <c r="Y92" i="7"/>
  <c r="F31" i="27" s="1"/>
  <c r="F31" i="24"/>
  <c r="W92" i="7"/>
  <c r="F31" i="25" s="1"/>
  <c r="F16" i="24"/>
  <c r="W77" i="7"/>
  <c r="F16" i="25" s="1"/>
  <c r="F35" i="24"/>
  <c r="Q35" i="24" s="1"/>
  <c r="R35" i="24" s="1"/>
  <c r="W96" i="7"/>
  <c r="F35" i="25" s="1"/>
  <c r="F13" i="24"/>
  <c r="W74" i="7"/>
  <c r="F13" i="25" s="1"/>
  <c r="F30" i="24"/>
  <c r="Q30" i="24" s="1"/>
  <c r="R30" i="24" s="1"/>
  <c r="W91" i="7"/>
  <c r="F30" i="25" s="1"/>
  <c r="E10" i="24"/>
  <c r="Q10" i="24" s="1"/>
  <c r="R10" i="24" s="1"/>
  <c r="E9" i="24"/>
  <c r="Q9" i="24" s="1"/>
  <c r="R9" i="24" s="1"/>
  <c r="E31" i="24"/>
  <c r="E28" i="24"/>
  <c r="Q28" i="24" s="1"/>
  <c r="R28" i="24" s="1"/>
  <c r="S29" i="7"/>
  <c r="Y29" i="7" s="1"/>
  <c r="E27" i="27" s="1"/>
  <c r="S24" i="7"/>
  <c r="S43" i="7"/>
  <c r="S16" i="7"/>
  <c r="AE13" i="7"/>
  <c r="AE17" i="7"/>
  <c r="Q31" i="24" l="1"/>
  <c r="R31" i="24" s="1"/>
  <c r="S41" i="7"/>
  <c r="Y43" i="7"/>
  <c r="W43" i="7"/>
  <c r="AO39" i="7"/>
  <c r="AO37" i="7"/>
  <c r="W41" i="7"/>
  <c r="E22" i="24"/>
  <c r="Q22" i="24" s="1"/>
  <c r="R22" i="24" s="1"/>
  <c r="W24" i="7"/>
  <c r="E22" i="25" s="1"/>
  <c r="E27" i="24"/>
  <c r="Q27" i="24" s="1"/>
  <c r="R27" i="24" s="1"/>
  <c r="W29" i="7"/>
  <c r="E27" i="25" s="1"/>
  <c r="E13" i="24"/>
  <c r="Q13" i="24" s="1"/>
  <c r="R13" i="24" s="1"/>
  <c r="W15" i="7"/>
  <c r="E13" i="25" s="1"/>
  <c r="E29" i="24"/>
  <c r="Q29" i="24" s="1"/>
  <c r="R29" i="24" s="1"/>
  <c r="W31" i="7"/>
  <c r="E29" i="25" s="1"/>
  <c r="E18" i="24"/>
  <c r="Q18" i="24" s="1"/>
  <c r="R18" i="24" s="1"/>
  <c r="W20" i="7"/>
  <c r="E18" i="25" s="1"/>
  <c r="E14" i="24"/>
  <c r="Q14" i="24" s="1"/>
  <c r="R14" i="24" s="1"/>
  <c r="W16" i="7"/>
  <c r="E14" i="25" s="1"/>
  <c r="E19" i="24"/>
  <c r="W21" i="7"/>
  <c r="E19" i="25" s="1"/>
  <c r="E38" i="24"/>
  <c r="Q38" i="24" s="1"/>
  <c r="R38" i="24" s="1"/>
  <c r="W40" i="7"/>
  <c r="E38" i="25" s="1"/>
  <c r="W486" i="7"/>
  <c r="M37" i="25" s="1"/>
  <c r="W160" i="7"/>
  <c r="G37" i="25" s="1"/>
  <c r="O25" i="9"/>
  <c r="O26" i="9"/>
  <c r="O27" i="9"/>
  <c r="O30" i="9"/>
  <c r="O31" i="9"/>
  <c r="O32" i="9"/>
  <c r="O33" i="9"/>
  <c r="O34" i="9"/>
  <c r="O35" i="9"/>
  <c r="O36" i="9"/>
  <c r="O38" i="9"/>
  <c r="O11" i="9"/>
  <c r="O13" i="9"/>
  <c r="O16" i="9"/>
  <c r="O17" i="9"/>
  <c r="O18" i="9"/>
  <c r="O20" i="9"/>
  <c r="O21" i="9"/>
  <c r="O22" i="9"/>
  <c r="O23" i="9"/>
  <c r="Q568" i="7"/>
  <c r="W568" i="7" s="1"/>
  <c r="O10" i="25" s="1"/>
  <c r="Q567" i="7"/>
  <c r="Q599" i="7"/>
  <c r="AO599" i="7" s="1"/>
  <c r="Q598" i="7"/>
  <c r="AO598" i="7" s="1"/>
  <c r="Q586" i="7"/>
  <c r="AI579" i="7"/>
  <c r="AC571" i="7"/>
  <c r="AR571" i="7" s="1"/>
  <c r="AC575" i="7"/>
  <c r="AI575" i="7" s="1"/>
  <c r="Q572" i="7"/>
  <c r="U597" i="7"/>
  <c r="O39" i="26" s="1"/>
  <c r="O39" i="24"/>
  <c r="AE582" i="7"/>
  <c r="S573" i="7" s="1"/>
  <c r="O15" i="24" s="1"/>
  <c r="AO596" i="7"/>
  <c r="O38" i="28" s="1"/>
  <c r="Y596" i="7"/>
  <c r="O38" i="27" s="1"/>
  <c r="Y581" i="7"/>
  <c r="O23" i="27" s="1"/>
  <c r="AO581" i="7"/>
  <c r="O23" i="28" s="1"/>
  <c r="AR581" i="7"/>
  <c r="AK581" i="7"/>
  <c r="AI581" i="7"/>
  <c r="O12" i="26"/>
  <c r="O12" i="24"/>
  <c r="Y595" i="7"/>
  <c r="O37" i="27" s="1"/>
  <c r="AO580" i="7"/>
  <c r="O22" i="28" s="1"/>
  <c r="Y580" i="7"/>
  <c r="O22" i="27" s="1"/>
  <c r="AR580" i="7"/>
  <c r="AK580" i="7"/>
  <c r="AI580" i="7"/>
  <c r="AO594" i="7"/>
  <c r="O36" i="28" s="1"/>
  <c r="Y594" i="7"/>
  <c r="O36" i="27" s="1"/>
  <c r="AO579" i="7"/>
  <c r="O21" i="28" s="1"/>
  <c r="Y579" i="7"/>
  <c r="O21" i="27" s="1"/>
  <c r="AK579" i="7"/>
  <c r="AO593" i="7"/>
  <c r="O35" i="28" s="1"/>
  <c r="Y593" i="7"/>
  <c r="O35" i="27" s="1"/>
  <c r="AO578" i="7"/>
  <c r="O20" i="28" s="1"/>
  <c r="Y578" i="7"/>
  <c r="O20" i="27" s="1"/>
  <c r="AR578" i="7"/>
  <c r="AK578" i="7"/>
  <c r="AI578" i="7"/>
  <c r="Y592" i="7"/>
  <c r="O34" i="27" s="1"/>
  <c r="AO592" i="7"/>
  <c r="O34" i="28" s="1"/>
  <c r="Y577" i="7"/>
  <c r="O19" i="27" s="1"/>
  <c r="AR577" i="7"/>
  <c r="AK577" i="7"/>
  <c r="AI577" i="7"/>
  <c r="AO591" i="7"/>
  <c r="O33" i="28" s="1"/>
  <c r="Y591" i="7"/>
  <c r="O33" i="27" s="1"/>
  <c r="AO576" i="7"/>
  <c r="O18" i="28" s="1"/>
  <c r="Y576" i="7"/>
  <c r="O18" i="27" s="1"/>
  <c r="AR576" i="7"/>
  <c r="AK576" i="7"/>
  <c r="AI576" i="7"/>
  <c r="AO590" i="7"/>
  <c r="O32" i="28" s="1"/>
  <c r="Y590" i="7"/>
  <c r="O32" i="27" s="1"/>
  <c r="Y575" i="7"/>
  <c r="O17" i="27" s="1"/>
  <c r="AO575" i="7"/>
  <c r="O17" i="28" s="1"/>
  <c r="AK575" i="7"/>
  <c r="AO589" i="7"/>
  <c r="O31" i="28" s="1"/>
  <c r="Y589" i="7"/>
  <c r="O31" i="27" s="1"/>
  <c r="AO574" i="7"/>
  <c r="O16" i="28" s="1"/>
  <c r="Y574" i="7"/>
  <c r="O16" i="27" s="1"/>
  <c r="AR574" i="7"/>
  <c r="AK574" i="7"/>
  <c r="AI574" i="7"/>
  <c r="AO588" i="7"/>
  <c r="O30" i="28" s="1"/>
  <c r="Y588" i="7"/>
  <c r="O30" i="27" s="1"/>
  <c r="U573" i="7"/>
  <c r="O15" i="26" s="1"/>
  <c r="AR573" i="7"/>
  <c r="AK573" i="7"/>
  <c r="AI573" i="7"/>
  <c r="Y587" i="7"/>
  <c r="O29" i="27" s="1"/>
  <c r="Y572" i="7"/>
  <c r="O14" i="27" s="1"/>
  <c r="AR572" i="7"/>
  <c r="AK572" i="7"/>
  <c r="AI572" i="7"/>
  <c r="Y586" i="7"/>
  <c r="O28" i="27" s="1"/>
  <c r="AO571" i="7"/>
  <c r="O13" i="28" s="1"/>
  <c r="Y571" i="7"/>
  <c r="O13" i="27" s="1"/>
  <c r="AK571" i="7"/>
  <c r="AO585" i="7"/>
  <c r="O27" i="28" s="1"/>
  <c r="Y585" i="7"/>
  <c r="O27" i="27" s="1"/>
  <c r="AR570" i="7"/>
  <c r="AK570" i="7"/>
  <c r="AI570" i="7"/>
  <c r="Y584" i="7"/>
  <c r="O26" i="27" s="1"/>
  <c r="AO584" i="7"/>
  <c r="O26" i="28" s="1"/>
  <c r="AO569" i="7"/>
  <c r="O11" i="28" s="1"/>
  <c r="Y569" i="7"/>
  <c r="O11" i="27" s="1"/>
  <c r="AR569" i="7"/>
  <c r="AK569" i="7"/>
  <c r="AI569" i="7"/>
  <c r="AO583" i="7"/>
  <c r="O25" i="28" s="1"/>
  <c r="Y583" i="7"/>
  <c r="O25" i="27" s="1"/>
  <c r="Y568" i="7"/>
  <c r="O10" i="27" s="1"/>
  <c r="AR568" i="7"/>
  <c r="AK568" i="7"/>
  <c r="AI568" i="7"/>
  <c r="Y582" i="7"/>
  <c r="O24" i="27" s="1"/>
  <c r="Y567" i="7"/>
  <c r="O9" i="27" s="1"/>
  <c r="N25" i="9"/>
  <c r="N27" i="9"/>
  <c r="N29" i="9"/>
  <c r="N30" i="9"/>
  <c r="N32" i="9"/>
  <c r="N33" i="9"/>
  <c r="N35" i="9"/>
  <c r="N36" i="9"/>
  <c r="N38" i="9"/>
  <c r="N24" i="9"/>
  <c r="N11" i="9"/>
  <c r="N13" i="9"/>
  <c r="N14" i="9"/>
  <c r="N17" i="9"/>
  <c r="N18" i="9"/>
  <c r="N19" i="9"/>
  <c r="N20" i="9"/>
  <c r="N21" i="9"/>
  <c r="N22" i="9"/>
  <c r="Q514" i="7"/>
  <c r="W514" i="7" s="1"/>
  <c r="N10" i="25" s="1"/>
  <c r="Q513" i="7"/>
  <c r="Q527" i="7"/>
  <c r="Q538" i="7"/>
  <c r="Q532" i="7"/>
  <c r="U543" i="7"/>
  <c r="N39" i="26" s="1"/>
  <c r="S543" i="7"/>
  <c r="N39" i="24" s="1"/>
  <c r="Q543" i="7"/>
  <c r="AE528" i="7"/>
  <c r="S519" i="7" s="1"/>
  <c r="N15" i="24" s="1"/>
  <c r="AO542" i="7"/>
  <c r="N38" i="28" s="1"/>
  <c r="Y542" i="7"/>
  <c r="N38" i="27" s="1"/>
  <c r="Y527" i="7"/>
  <c r="N23" i="27" s="1"/>
  <c r="AR527" i="7"/>
  <c r="AK527" i="7"/>
  <c r="AI527" i="7"/>
  <c r="N12" i="26"/>
  <c r="N12" i="24"/>
  <c r="Y541" i="7"/>
  <c r="N37" i="27" s="1"/>
  <c r="AO526" i="7"/>
  <c r="N22" i="28" s="1"/>
  <c r="Y526" i="7"/>
  <c r="N22" i="27" s="1"/>
  <c r="AR526" i="7"/>
  <c r="AK526" i="7"/>
  <c r="AI526" i="7"/>
  <c r="AO540" i="7"/>
  <c r="N36" i="28" s="1"/>
  <c r="Y540" i="7"/>
  <c r="N36" i="27" s="1"/>
  <c r="AO525" i="7"/>
  <c r="N21" i="28" s="1"/>
  <c r="Y525" i="7"/>
  <c r="N21" i="27" s="1"/>
  <c r="AR525" i="7"/>
  <c r="AK525" i="7"/>
  <c r="AI525" i="7"/>
  <c r="AO539" i="7"/>
  <c r="N35" i="28" s="1"/>
  <c r="Y539" i="7"/>
  <c r="N35" i="27" s="1"/>
  <c r="AO524" i="7"/>
  <c r="N20" i="28" s="1"/>
  <c r="Y524" i="7"/>
  <c r="N20" i="27" s="1"/>
  <c r="AK524" i="7"/>
  <c r="AR524" i="7"/>
  <c r="Y538" i="7"/>
  <c r="N34" i="27" s="1"/>
  <c r="AO523" i="7"/>
  <c r="N19" i="28" s="1"/>
  <c r="Y523" i="7"/>
  <c r="N19" i="27" s="1"/>
  <c r="AR523" i="7"/>
  <c r="AK523" i="7"/>
  <c r="AI523" i="7"/>
  <c r="AO537" i="7"/>
  <c r="N33" i="28" s="1"/>
  <c r="Y537" i="7"/>
  <c r="N33" i="27" s="1"/>
  <c r="Y522" i="7"/>
  <c r="N18" i="27" s="1"/>
  <c r="AO522" i="7"/>
  <c r="N18" i="28" s="1"/>
  <c r="AK522" i="7"/>
  <c r="AR522" i="7"/>
  <c r="AO536" i="7"/>
  <c r="N32" i="28" s="1"/>
  <c r="Y536" i="7"/>
  <c r="N32" i="27" s="1"/>
  <c r="AO521" i="7"/>
  <c r="N17" i="28" s="1"/>
  <c r="Y521" i="7"/>
  <c r="N17" i="27" s="1"/>
  <c r="AK521" i="7"/>
  <c r="AR521" i="7"/>
  <c r="Y535" i="7"/>
  <c r="N31" i="27" s="1"/>
  <c r="Y520" i="7"/>
  <c r="N16" i="27" s="1"/>
  <c r="AR520" i="7"/>
  <c r="AK520" i="7"/>
  <c r="AI520" i="7"/>
  <c r="Y534" i="7"/>
  <c r="N30" i="27" s="1"/>
  <c r="AO534" i="7"/>
  <c r="N30" i="28" s="1"/>
  <c r="U519" i="7"/>
  <c r="N15" i="26" s="1"/>
  <c r="AR519" i="7"/>
  <c r="AK519" i="7"/>
  <c r="AI519" i="7"/>
  <c r="AO533" i="7"/>
  <c r="N29" i="28" s="1"/>
  <c r="Y533" i="7"/>
  <c r="N29" i="27" s="1"/>
  <c r="Y518" i="7"/>
  <c r="N14" i="27" s="1"/>
  <c r="AO518" i="7"/>
  <c r="N14" i="28" s="1"/>
  <c r="AK518" i="7"/>
  <c r="AR518" i="7"/>
  <c r="Y532" i="7"/>
  <c r="N28" i="27" s="1"/>
  <c r="AO517" i="7"/>
  <c r="N13" i="28" s="1"/>
  <c r="Y517" i="7"/>
  <c r="N13" i="27" s="1"/>
  <c r="AR517" i="7"/>
  <c r="AK517" i="7"/>
  <c r="AI517" i="7"/>
  <c r="AO531" i="7"/>
  <c r="N27" i="28" s="1"/>
  <c r="Y531" i="7"/>
  <c r="N27" i="27" s="1"/>
  <c r="AR516" i="7"/>
  <c r="AK516" i="7"/>
  <c r="AI516" i="7"/>
  <c r="Y530" i="7"/>
  <c r="N26" i="27" s="1"/>
  <c r="AO515" i="7"/>
  <c r="N11" i="28" s="1"/>
  <c r="Y515" i="7"/>
  <c r="N11" i="27" s="1"/>
  <c r="AR515" i="7"/>
  <c r="AK515" i="7"/>
  <c r="AI515" i="7"/>
  <c r="AO529" i="7"/>
  <c r="N25" i="28" s="1"/>
  <c r="Y529" i="7"/>
  <c r="N25" i="27" s="1"/>
  <c r="Y514" i="7"/>
  <c r="N10" i="27" s="1"/>
  <c r="AR514" i="7"/>
  <c r="AK514" i="7"/>
  <c r="AI514" i="7"/>
  <c r="AO528" i="7"/>
  <c r="N24" i="28" s="1"/>
  <c r="Y528" i="7"/>
  <c r="N24" i="27" s="1"/>
  <c r="Y513" i="7"/>
  <c r="N9" i="27" s="1"/>
  <c r="M25" i="9"/>
  <c r="M26" i="9"/>
  <c r="M32" i="9"/>
  <c r="M33" i="9"/>
  <c r="M34" i="9"/>
  <c r="M35" i="9"/>
  <c r="M36" i="9"/>
  <c r="M37" i="9"/>
  <c r="M38" i="9"/>
  <c r="M24" i="9"/>
  <c r="M13" i="9"/>
  <c r="M16" i="9"/>
  <c r="M17" i="9"/>
  <c r="M19" i="9"/>
  <c r="M20" i="9"/>
  <c r="M22" i="9"/>
  <c r="AC474" i="7"/>
  <c r="Q458" i="7"/>
  <c r="AO458" i="7" s="1"/>
  <c r="Q459" i="7"/>
  <c r="Q467" i="7"/>
  <c r="Q492" i="7"/>
  <c r="AO492" i="7" s="1"/>
  <c r="Q480" i="7"/>
  <c r="Q460" i="7"/>
  <c r="Q489" i="7"/>
  <c r="AO489" i="7" s="1"/>
  <c r="AC466" i="7"/>
  <c r="AR466" i="7" s="1"/>
  <c r="AC467" i="7"/>
  <c r="AI467" i="7" s="1"/>
  <c r="AC462" i="7"/>
  <c r="AI462" i="7" s="1"/>
  <c r="Q478" i="7"/>
  <c r="AC464" i="7"/>
  <c r="AR464" i="7" s="1"/>
  <c r="Q477" i="7"/>
  <c r="Q463" i="7"/>
  <c r="AR469" i="7"/>
  <c r="AO486" i="7"/>
  <c r="M37" i="28" s="1"/>
  <c r="Q476" i="7"/>
  <c r="Q493" i="7"/>
  <c r="AO493" i="7" s="1"/>
  <c r="Q479" i="7"/>
  <c r="P479" i="7" s="1"/>
  <c r="AC463" i="7"/>
  <c r="AR463" i="7" s="1"/>
  <c r="Q470" i="7"/>
  <c r="W470" i="7" s="1"/>
  <c r="M21" i="25" s="1"/>
  <c r="U488" i="7"/>
  <c r="M39" i="26" s="1"/>
  <c r="S488" i="7"/>
  <c r="AE473" i="7"/>
  <c r="S464" i="7" s="1"/>
  <c r="M15" i="24" s="1"/>
  <c r="AO487" i="7"/>
  <c r="M38" i="28" s="1"/>
  <c r="Y487" i="7"/>
  <c r="M38" i="27" s="1"/>
  <c r="Y472" i="7"/>
  <c r="M23" i="27" s="1"/>
  <c r="AR472" i="7"/>
  <c r="AK472" i="7"/>
  <c r="AI472" i="7"/>
  <c r="M12" i="26"/>
  <c r="M12" i="24"/>
  <c r="Y486" i="7"/>
  <c r="M37" i="27" s="1"/>
  <c r="AO471" i="7"/>
  <c r="M22" i="28" s="1"/>
  <c r="Y471" i="7"/>
  <c r="M22" i="27" s="1"/>
  <c r="AR471" i="7"/>
  <c r="AK471" i="7"/>
  <c r="AI471" i="7"/>
  <c r="AO485" i="7"/>
  <c r="M36" i="28" s="1"/>
  <c r="Y485" i="7"/>
  <c r="M36" i="27" s="1"/>
  <c r="Y470" i="7"/>
  <c r="M21" i="27" s="1"/>
  <c r="AK470" i="7"/>
  <c r="AR470" i="7"/>
  <c r="AO484" i="7"/>
  <c r="M35" i="28" s="1"/>
  <c r="Y484" i="7"/>
  <c r="M35" i="27" s="1"/>
  <c r="AO469" i="7"/>
  <c r="M20" i="28" s="1"/>
  <c r="Y469" i="7"/>
  <c r="M20" i="27" s="1"/>
  <c r="AK469" i="7"/>
  <c r="AO483" i="7"/>
  <c r="M34" i="28" s="1"/>
  <c r="Y483" i="7"/>
  <c r="M34" i="27" s="1"/>
  <c r="AO468" i="7"/>
  <c r="M19" i="28" s="1"/>
  <c r="Y468" i="7"/>
  <c r="M19" i="27" s="1"/>
  <c r="AR468" i="7"/>
  <c r="AK468" i="7"/>
  <c r="AI468" i="7"/>
  <c r="AO482" i="7"/>
  <c r="M33" i="28" s="1"/>
  <c r="Y482" i="7"/>
  <c r="M33" i="27" s="1"/>
  <c r="Y467" i="7"/>
  <c r="M18" i="27" s="1"/>
  <c r="AK467" i="7"/>
  <c r="AO481" i="7"/>
  <c r="M32" i="28" s="1"/>
  <c r="Y481" i="7"/>
  <c r="M32" i="27" s="1"/>
  <c r="Y466" i="7"/>
  <c r="M17" i="27" s="1"/>
  <c r="AO466" i="7"/>
  <c r="M17" i="28" s="1"/>
  <c r="AK466" i="7"/>
  <c r="Y480" i="7"/>
  <c r="M31" i="27" s="1"/>
  <c r="AR465" i="7"/>
  <c r="AK465" i="7"/>
  <c r="AI465" i="7"/>
  <c r="Y479" i="7"/>
  <c r="M30" i="27" s="1"/>
  <c r="AK464" i="7"/>
  <c r="Y478" i="7"/>
  <c r="M29" i="27" s="1"/>
  <c r="Y463" i="7"/>
  <c r="M14" i="27" s="1"/>
  <c r="AK463" i="7"/>
  <c r="Y477" i="7"/>
  <c r="M28" i="27" s="1"/>
  <c r="Y462" i="7"/>
  <c r="M13" i="27" s="1"/>
  <c r="AO462" i="7"/>
  <c r="M13" i="28" s="1"/>
  <c r="AK462" i="7"/>
  <c r="Y476" i="7"/>
  <c r="M27" i="27" s="1"/>
  <c r="AR461" i="7"/>
  <c r="AK461" i="7"/>
  <c r="AI461" i="7"/>
  <c r="AO475" i="7"/>
  <c r="M26" i="28" s="1"/>
  <c r="Y475" i="7"/>
  <c r="M26" i="27" s="1"/>
  <c r="Y460" i="7"/>
  <c r="M11" i="27" s="1"/>
  <c r="AR460" i="7"/>
  <c r="AK460" i="7"/>
  <c r="AI460" i="7"/>
  <c r="AO474" i="7"/>
  <c r="M25" i="28" s="1"/>
  <c r="Y474" i="7"/>
  <c r="M25" i="27" s="1"/>
  <c r="Y459" i="7"/>
  <c r="M10" i="27" s="1"/>
  <c r="AR459" i="7"/>
  <c r="AK459" i="7"/>
  <c r="AI459" i="7"/>
  <c r="AO473" i="7"/>
  <c r="M24" i="28" s="1"/>
  <c r="Y473" i="7"/>
  <c r="M24" i="27" s="1"/>
  <c r="W473" i="7"/>
  <c r="M24" i="25" s="1"/>
  <c r="Y458" i="7"/>
  <c r="M9" i="27" s="1"/>
  <c r="AR458" i="7"/>
  <c r="L25" i="9"/>
  <c r="L26" i="9"/>
  <c r="L32" i="9"/>
  <c r="L33" i="9"/>
  <c r="L34" i="9"/>
  <c r="L35" i="9"/>
  <c r="L36" i="9"/>
  <c r="L38" i="9"/>
  <c r="L24" i="9"/>
  <c r="L14" i="9"/>
  <c r="L16" i="9"/>
  <c r="L18" i="9"/>
  <c r="L19" i="9"/>
  <c r="L20" i="9"/>
  <c r="L21" i="9"/>
  <c r="Q406" i="7"/>
  <c r="Q405" i="7"/>
  <c r="Q413" i="7"/>
  <c r="Q409" i="7"/>
  <c r="W409" i="7" s="1"/>
  <c r="L13" i="25" s="1"/>
  <c r="Q436" i="7"/>
  <c r="AO436" i="7" s="1"/>
  <c r="Q407" i="7"/>
  <c r="Q423" i="7"/>
  <c r="W423" i="7" s="1"/>
  <c r="L27" i="25" s="1"/>
  <c r="Q440" i="7"/>
  <c r="AO440" i="7" s="1"/>
  <c r="Q418" i="7"/>
  <c r="W418" i="7" s="1"/>
  <c r="L22" i="25" s="1"/>
  <c r="U435" i="7"/>
  <c r="L39" i="26" s="1"/>
  <c r="L39" i="24"/>
  <c r="L15" i="24"/>
  <c r="AO434" i="7"/>
  <c r="L38" i="28" s="1"/>
  <c r="Y434" i="7"/>
  <c r="L38" i="27" s="1"/>
  <c r="Y419" i="7"/>
  <c r="L23" i="27" s="1"/>
  <c r="L12" i="26"/>
  <c r="L12" i="24"/>
  <c r="Y433" i="7"/>
  <c r="L37" i="27" s="1"/>
  <c r="Y418" i="7"/>
  <c r="L22" i="27" s="1"/>
  <c r="AO432" i="7"/>
  <c r="L36" i="28" s="1"/>
  <c r="Y432" i="7"/>
  <c r="L36" i="27" s="1"/>
  <c r="AO417" i="7"/>
  <c r="L21" i="28" s="1"/>
  <c r="Y417" i="7"/>
  <c r="L21" i="27" s="1"/>
  <c r="Y431" i="7"/>
  <c r="L35" i="27" s="1"/>
  <c r="AO431" i="7"/>
  <c r="L35" i="28" s="1"/>
  <c r="Y416" i="7"/>
  <c r="L20" i="27" s="1"/>
  <c r="AO416" i="7"/>
  <c r="L20" i="28" s="1"/>
  <c r="AO430" i="7"/>
  <c r="L34" i="28" s="1"/>
  <c r="Y430" i="7"/>
  <c r="L34" i="27" s="1"/>
  <c r="AO415" i="7"/>
  <c r="L19" i="28" s="1"/>
  <c r="Y415" i="7"/>
  <c r="L19" i="27" s="1"/>
  <c r="AO429" i="7"/>
  <c r="L33" i="28" s="1"/>
  <c r="Y429" i="7"/>
  <c r="L33" i="27" s="1"/>
  <c r="AO414" i="7"/>
  <c r="L18" i="28" s="1"/>
  <c r="Y414" i="7"/>
  <c r="L18" i="27" s="1"/>
  <c r="AO428" i="7"/>
  <c r="L32" i="28" s="1"/>
  <c r="Y428" i="7"/>
  <c r="L32" i="27" s="1"/>
  <c r="Y413" i="7"/>
  <c r="L17" i="27" s="1"/>
  <c r="Y427" i="7"/>
  <c r="L31" i="27" s="1"/>
  <c r="AO412" i="7"/>
  <c r="L16" i="28" s="1"/>
  <c r="Y412" i="7"/>
  <c r="L16" i="27" s="1"/>
  <c r="Y426" i="7"/>
  <c r="L30" i="27" s="1"/>
  <c r="L15" i="26"/>
  <c r="Y425" i="7"/>
  <c r="L29" i="27" s="1"/>
  <c r="AO410" i="7"/>
  <c r="L14" i="28" s="1"/>
  <c r="Y410" i="7"/>
  <c r="L14" i="27" s="1"/>
  <c r="Y424" i="7"/>
  <c r="L28" i="27" s="1"/>
  <c r="Y409" i="7"/>
  <c r="L13" i="27" s="1"/>
  <c r="Y423" i="7"/>
  <c r="L27" i="27" s="1"/>
  <c r="AO422" i="7"/>
  <c r="L26" i="28" s="1"/>
  <c r="Y422" i="7"/>
  <c r="L26" i="27" s="1"/>
  <c r="Y407" i="7"/>
  <c r="L11" i="27" s="1"/>
  <c r="AO421" i="7"/>
  <c r="L25" i="28" s="1"/>
  <c r="Y421" i="7"/>
  <c r="L25" i="27" s="1"/>
  <c r="Y406" i="7"/>
  <c r="L10" i="27" s="1"/>
  <c r="AO420" i="7"/>
  <c r="L24" i="28" s="1"/>
  <c r="Y420" i="7"/>
  <c r="L24" i="27" s="1"/>
  <c r="W420" i="7"/>
  <c r="L24" i="25" s="1"/>
  <c r="Y405" i="7"/>
  <c r="L9" i="27" s="1"/>
  <c r="AN479" i="7" l="1"/>
  <c r="V479" i="7"/>
  <c r="Q13" i="25"/>
  <c r="R13" i="25" s="1"/>
  <c r="Q22" i="25"/>
  <c r="R22" i="25" s="1"/>
  <c r="AO543" i="7"/>
  <c r="W405" i="7"/>
  <c r="AO405" i="7"/>
  <c r="W513" i="7"/>
  <c r="AO513" i="7"/>
  <c r="N9" i="28" s="1"/>
  <c r="M39" i="24"/>
  <c r="W567" i="7"/>
  <c r="O9" i="25" s="1"/>
  <c r="L9" i="25"/>
  <c r="M9" i="9"/>
  <c r="W458" i="7"/>
  <c r="M9" i="25" s="1"/>
  <c r="W196" i="7"/>
  <c r="H16" i="25" s="1"/>
  <c r="W543" i="7"/>
  <c r="N39" i="25" s="1"/>
  <c r="AI571" i="7"/>
  <c r="Q597" i="7"/>
  <c r="L30" i="9"/>
  <c r="W426" i="7"/>
  <c r="L30" i="25" s="1"/>
  <c r="L29" i="9"/>
  <c r="W425" i="7"/>
  <c r="L29" i="25" s="1"/>
  <c r="M29" i="9"/>
  <c r="W478" i="7"/>
  <c r="M29" i="25" s="1"/>
  <c r="N31" i="9"/>
  <c r="W535" i="7"/>
  <c r="N31" i="25" s="1"/>
  <c r="O24" i="9"/>
  <c r="W582" i="7"/>
  <c r="O24" i="25" s="1"/>
  <c r="N16" i="9"/>
  <c r="W520" i="7"/>
  <c r="N16" i="25" s="1"/>
  <c r="M12" i="9"/>
  <c r="W461" i="7"/>
  <c r="M12" i="25" s="1"/>
  <c r="L31" i="9"/>
  <c r="W427" i="7"/>
  <c r="L31" i="25" s="1"/>
  <c r="O19" i="9"/>
  <c r="W577" i="7"/>
  <c r="O19" i="25" s="1"/>
  <c r="M30" i="9"/>
  <c r="W479" i="7"/>
  <c r="M30" i="25" s="1"/>
  <c r="AO572" i="7"/>
  <c r="O14" i="28" s="1"/>
  <c r="W572" i="7"/>
  <c r="O14" i="25" s="1"/>
  <c r="L11" i="9"/>
  <c r="W407" i="7"/>
  <c r="L11" i="25" s="1"/>
  <c r="L10" i="9"/>
  <c r="W406" i="7"/>
  <c r="L10" i="25" s="1"/>
  <c r="M27" i="9"/>
  <c r="W476" i="7"/>
  <c r="M27" i="25" s="1"/>
  <c r="M11" i="9"/>
  <c r="W460" i="7"/>
  <c r="M11" i="25" s="1"/>
  <c r="L37" i="9"/>
  <c r="W433" i="7"/>
  <c r="L37" i="25" s="1"/>
  <c r="M31" i="9"/>
  <c r="W480" i="7"/>
  <c r="M31" i="25" s="1"/>
  <c r="AO424" i="7"/>
  <c r="L28" i="28" s="1"/>
  <c r="W424" i="7"/>
  <c r="L28" i="25" s="1"/>
  <c r="AO541" i="7"/>
  <c r="N37" i="28" s="1"/>
  <c r="W541" i="7"/>
  <c r="N37" i="25" s="1"/>
  <c r="AO586" i="7"/>
  <c r="O28" i="28" s="1"/>
  <c r="W586" i="7"/>
  <c r="O28" i="25" s="1"/>
  <c r="M14" i="9"/>
  <c r="W463" i="7"/>
  <c r="M14" i="25" s="1"/>
  <c r="AO467" i="7"/>
  <c r="M18" i="28" s="1"/>
  <c r="W467" i="7"/>
  <c r="M18" i="25" s="1"/>
  <c r="N26" i="9"/>
  <c r="W530" i="7"/>
  <c r="N26" i="25" s="1"/>
  <c r="O29" i="9"/>
  <c r="W587" i="7"/>
  <c r="O29" i="25" s="1"/>
  <c r="N9" i="9"/>
  <c r="N9" i="25"/>
  <c r="M23" i="9"/>
  <c r="W472" i="7"/>
  <c r="M23" i="25" s="1"/>
  <c r="M10" i="9"/>
  <c r="W459" i="7"/>
  <c r="M10" i="25" s="1"/>
  <c r="N28" i="9"/>
  <c r="W532" i="7"/>
  <c r="N28" i="25" s="1"/>
  <c r="AO568" i="7"/>
  <c r="O10" i="28" s="1"/>
  <c r="L12" i="9"/>
  <c r="W408" i="7"/>
  <c r="L12" i="25" s="1"/>
  <c r="M28" i="9"/>
  <c r="W477" i="7"/>
  <c r="M28" i="25" s="1"/>
  <c r="AO538" i="7"/>
  <c r="N34" i="28" s="1"/>
  <c r="W538" i="7"/>
  <c r="N34" i="25" s="1"/>
  <c r="Q34" i="25" s="1"/>
  <c r="R34" i="25" s="1"/>
  <c r="O37" i="9"/>
  <c r="W595" i="7"/>
  <c r="O37" i="25" s="1"/>
  <c r="L17" i="9"/>
  <c r="W413" i="7"/>
  <c r="L17" i="25" s="1"/>
  <c r="L23" i="9"/>
  <c r="W419" i="7"/>
  <c r="L23" i="25" s="1"/>
  <c r="AO527" i="7"/>
  <c r="N23" i="28" s="1"/>
  <c r="W527" i="7"/>
  <c r="N23" i="25" s="1"/>
  <c r="AO587" i="7"/>
  <c r="O29" i="28" s="1"/>
  <c r="AO470" i="7"/>
  <c r="M21" i="28" s="1"/>
  <c r="AO595" i="7"/>
  <c r="O37" i="28" s="1"/>
  <c r="AO407" i="7"/>
  <c r="L11" i="28" s="1"/>
  <c r="AO406" i="7"/>
  <c r="L10" i="28" s="1"/>
  <c r="AO530" i="7"/>
  <c r="N26" i="28" s="1"/>
  <c r="AO426" i="7"/>
  <c r="L30" i="28" s="1"/>
  <c r="AO463" i="7"/>
  <c r="M14" i="28" s="1"/>
  <c r="AR575" i="7"/>
  <c r="AO532" i="7"/>
  <c r="N28" i="28" s="1"/>
  <c r="AO459" i="7"/>
  <c r="M10" i="28" s="1"/>
  <c r="M9" i="28"/>
  <c r="AO477" i="7"/>
  <c r="M28" i="28" s="1"/>
  <c r="AO577" i="7"/>
  <c r="O19" i="28" s="1"/>
  <c r="AI463" i="7"/>
  <c r="AO409" i="7"/>
  <c r="L13" i="28" s="1"/>
  <c r="AO479" i="7"/>
  <c r="M30" i="28" s="1"/>
  <c r="AR579" i="7"/>
  <c r="AO460" i="7"/>
  <c r="M11" i="28" s="1"/>
  <c r="AO419" i="7"/>
  <c r="L23" i="28" s="1"/>
  <c r="AO425" i="7"/>
  <c r="L29" i="28" s="1"/>
  <c r="AO413" i="7"/>
  <c r="L17" i="28" s="1"/>
  <c r="Y573" i="7"/>
  <c r="O15" i="27" s="1"/>
  <c r="AO480" i="7"/>
  <c r="M31" i="28" s="1"/>
  <c r="Y435" i="7"/>
  <c r="L39" i="27" s="1"/>
  <c r="AO582" i="7"/>
  <c r="O24" i="28" s="1"/>
  <c r="AO472" i="7"/>
  <c r="M23" i="28" s="1"/>
  <c r="AO433" i="7"/>
  <c r="L37" i="28" s="1"/>
  <c r="Y519" i="7"/>
  <c r="N15" i="27" s="1"/>
  <c r="AO535" i="7"/>
  <c r="N31" i="28" s="1"/>
  <c r="N39" i="28"/>
  <c r="M21" i="9"/>
  <c r="Y464" i="7"/>
  <c r="M15" i="27" s="1"/>
  <c r="Q488" i="7"/>
  <c r="AO488" i="7" s="1"/>
  <c r="AO478" i="7"/>
  <c r="M29" i="28" s="1"/>
  <c r="AO423" i="7"/>
  <c r="L27" i="28" s="1"/>
  <c r="Y461" i="7"/>
  <c r="M12" i="27" s="1"/>
  <c r="N34" i="9"/>
  <c r="AK582" i="7"/>
  <c r="Y597" i="7"/>
  <c r="O39" i="27" s="1"/>
  <c r="Y411" i="7"/>
  <c r="L15" i="27" s="1"/>
  <c r="AO427" i="7"/>
  <c r="L31" i="28" s="1"/>
  <c r="Q435" i="7"/>
  <c r="AO435" i="7" s="1"/>
  <c r="AI469" i="7"/>
  <c r="M18" i="9"/>
  <c r="O14" i="9"/>
  <c r="AO567" i="7"/>
  <c r="O9" i="28" s="1"/>
  <c r="L13" i="9"/>
  <c r="AO476" i="7"/>
  <c r="M27" i="28" s="1"/>
  <c r="AK528" i="7"/>
  <c r="O9" i="9"/>
  <c r="AO514" i="7"/>
  <c r="N10" i="28" s="1"/>
  <c r="Y543" i="7"/>
  <c r="N39" i="27" s="1"/>
  <c r="N23" i="9"/>
  <c r="N10" i="9"/>
  <c r="L9" i="9"/>
  <c r="L28" i="9"/>
  <c r="Y488" i="7"/>
  <c r="M39" i="27" s="1"/>
  <c r="AC582" i="7"/>
  <c r="O10" i="9"/>
  <c r="L27" i="9"/>
  <c r="N39" i="9"/>
  <c r="O28" i="9"/>
  <c r="Y408" i="7"/>
  <c r="L12" i="27" s="1"/>
  <c r="L22" i="9"/>
  <c r="N37" i="9"/>
  <c r="AC473" i="7"/>
  <c r="AK473" i="7"/>
  <c r="M12" i="28"/>
  <c r="AO520" i="7"/>
  <c r="N16" i="28" s="1"/>
  <c r="Y570" i="7"/>
  <c r="O12" i="27" s="1"/>
  <c r="Y516" i="7"/>
  <c r="N12" i="27" s="1"/>
  <c r="AI518" i="7"/>
  <c r="AI521" i="7"/>
  <c r="AI522" i="7"/>
  <c r="AI524" i="7"/>
  <c r="AC528" i="7"/>
  <c r="AI466" i="7"/>
  <c r="AR467" i="7"/>
  <c r="AI464" i="7"/>
  <c r="AR462" i="7"/>
  <c r="AI470" i="7"/>
  <c r="L9" i="28"/>
  <c r="AO418" i="7"/>
  <c r="L22" i="28" s="1"/>
  <c r="AO408" i="7"/>
  <c r="L12" i="28" s="1"/>
  <c r="W597" i="7" l="1"/>
  <c r="O39" i="25" s="1"/>
  <c r="AO597" i="7"/>
  <c r="AI528" i="7"/>
  <c r="AR528" i="7"/>
  <c r="AI582" i="7"/>
  <c r="AR582" i="7"/>
  <c r="Q464" i="7"/>
  <c r="M15" i="9" s="1"/>
  <c r="AI473" i="7"/>
  <c r="O39" i="28"/>
  <c r="O39" i="9"/>
  <c r="M39" i="28"/>
  <c r="W488" i="7"/>
  <c r="M39" i="25" s="1"/>
  <c r="O12" i="9"/>
  <c r="W570" i="7"/>
  <c r="O12" i="25" s="1"/>
  <c r="N12" i="9"/>
  <c r="W516" i="7"/>
  <c r="N12" i="25" s="1"/>
  <c r="L39" i="28"/>
  <c r="W435" i="7"/>
  <c r="L39" i="25" s="1"/>
  <c r="Q573" i="7"/>
  <c r="AO516" i="7"/>
  <c r="N12" i="28" s="1"/>
  <c r="M39" i="9"/>
  <c r="Q411" i="7"/>
  <c r="AR473" i="7"/>
  <c r="L39" i="9"/>
  <c r="AO570" i="7"/>
  <c r="O12" i="28" s="1"/>
  <c r="Q519" i="7"/>
  <c r="W464" i="7" l="1"/>
  <c r="M15" i="25" s="1"/>
  <c r="AO464" i="7"/>
  <c r="M15" i="28" s="1"/>
  <c r="O15" i="9"/>
  <c r="W573" i="7"/>
  <c r="O15" i="25" s="1"/>
  <c r="AO411" i="7"/>
  <c r="L15" i="28" s="1"/>
  <c r="W411" i="7"/>
  <c r="L15" i="25" s="1"/>
  <c r="N15" i="9"/>
  <c r="W519" i="7"/>
  <c r="N15" i="25" s="1"/>
  <c r="L15" i="9"/>
  <c r="AO573" i="7"/>
  <c r="O15" i="28" s="1"/>
  <c r="AO519" i="7"/>
  <c r="N15" i="28" s="1"/>
  <c r="K38" i="9" l="1"/>
  <c r="K36" i="9"/>
  <c r="K34" i="9"/>
  <c r="K33" i="9"/>
  <c r="K32" i="9"/>
  <c r="K29" i="9"/>
  <c r="K28" i="9"/>
  <c r="K27" i="9"/>
  <c r="K25" i="9"/>
  <c r="K24" i="9"/>
  <c r="K11" i="9"/>
  <c r="K13" i="9"/>
  <c r="K14" i="9"/>
  <c r="K17" i="9"/>
  <c r="K18" i="9"/>
  <c r="K19" i="9"/>
  <c r="K21" i="9"/>
  <c r="K22" i="9"/>
  <c r="Q355" i="7"/>
  <c r="Q354" i="7"/>
  <c r="AO354" i="7" s="1"/>
  <c r="Q380" i="7"/>
  <c r="Q368" i="7"/>
  <c r="W382" i="7"/>
  <c r="K37" i="25" s="1"/>
  <c r="Q371" i="7"/>
  <c r="S384" i="7"/>
  <c r="K39" i="24" s="1"/>
  <c r="Q384" i="7"/>
  <c r="AO384" i="7" s="1"/>
  <c r="K15" i="24"/>
  <c r="AO383" i="7"/>
  <c r="K38" i="28" s="1"/>
  <c r="Y383" i="7"/>
  <c r="K38" i="27" s="1"/>
  <c r="Y368" i="7"/>
  <c r="K23" i="27" s="1"/>
  <c r="K12" i="26"/>
  <c r="Y382" i="7"/>
  <c r="K37" i="27" s="1"/>
  <c r="AO367" i="7"/>
  <c r="K22" i="28" s="1"/>
  <c r="Y367" i="7"/>
  <c r="K22" i="27" s="1"/>
  <c r="AO381" i="7"/>
  <c r="K36" i="28" s="1"/>
  <c r="Y381" i="7"/>
  <c r="K36" i="27" s="1"/>
  <c r="AO366" i="7"/>
  <c r="K21" i="28" s="1"/>
  <c r="Y366" i="7"/>
  <c r="K21" i="27" s="1"/>
  <c r="Y380" i="7"/>
  <c r="K35" i="27" s="1"/>
  <c r="Y365" i="7"/>
  <c r="K20" i="27" s="1"/>
  <c r="AO379" i="7"/>
  <c r="K34" i="28" s="1"/>
  <c r="Y379" i="7"/>
  <c r="K34" i="27" s="1"/>
  <c r="AO364" i="7"/>
  <c r="K19" i="28" s="1"/>
  <c r="Y364" i="7"/>
  <c r="K19" i="27" s="1"/>
  <c r="AO378" i="7"/>
  <c r="K33" i="28" s="1"/>
  <c r="Y378" i="7"/>
  <c r="K33" i="27" s="1"/>
  <c r="AO363" i="7"/>
  <c r="K18" i="28" s="1"/>
  <c r="Y363" i="7"/>
  <c r="K18" i="27" s="1"/>
  <c r="AO377" i="7"/>
  <c r="K32" i="28" s="1"/>
  <c r="Y377" i="7"/>
  <c r="K32" i="27" s="1"/>
  <c r="Y362" i="7"/>
  <c r="K17" i="27" s="1"/>
  <c r="Y376" i="7"/>
  <c r="K31" i="27" s="1"/>
  <c r="Y375" i="7"/>
  <c r="K30" i="27" s="1"/>
  <c r="U360" i="7"/>
  <c r="K15" i="26" s="1"/>
  <c r="Y374" i="7"/>
  <c r="K29" i="27" s="1"/>
  <c r="AO374" i="7"/>
  <c r="K29" i="28" s="1"/>
  <c r="AO359" i="7"/>
  <c r="K14" i="28" s="1"/>
  <c r="Y359" i="7"/>
  <c r="K14" i="27" s="1"/>
  <c r="Y373" i="7"/>
  <c r="K28" i="27" s="1"/>
  <c r="AO358" i="7"/>
  <c r="K13" i="28" s="1"/>
  <c r="Y358" i="7"/>
  <c r="K13" i="27" s="1"/>
  <c r="Y372" i="7"/>
  <c r="K27" i="27" s="1"/>
  <c r="AO372" i="7"/>
  <c r="K27" i="28" s="1"/>
  <c r="Y371" i="7"/>
  <c r="K26" i="27" s="1"/>
  <c r="AO356" i="7"/>
  <c r="K11" i="28" s="1"/>
  <c r="Y356" i="7"/>
  <c r="K11" i="27" s="1"/>
  <c r="AO370" i="7"/>
  <c r="K25" i="28" s="1"/>
  <c r="Y370" i="7"/>
  <c r="K25" i="27" s="1"/>
  <c r="Y355" i="7"/>
  <c r="K10" i="27" s="1"/>
  <c r="AO369" i="7"/>
  <c r="K24" i="28" s="1"/>
  <c r="Y369" i="7"/>
  <c r="K24" i="27" s="1"/>
  <c r="W369" i="7"/>
  <c r="K24" i="25" s="1"/>
  <c r="K9" i="27"/>
  <c r="I25" i="9"/>
  <c r="I26" i="9"/>
  <c r="I32" i="9"/>
  <c r="I33" i="9"/>
  <c r="I34" i="9"/>
  <c r="I35" i="9"/>
  <c r="I36" i="9"/>
  <c r="I24" i="9"/>
  <c r="I13" i="9"/>
  <c r="I21" i="9"/>
  <c r="I22" i="9"/>
  <c r="Q246" i="7"/>
  <c r="Q245" i="7"/>
  <c r="AO246" i="7" s="1"/>
  <c r="Q274" i="7"/>
  <c r="W252" i="7"/>
  <c r="I16" i="25" s="1"/>
  <c r="Q253" i="7"/>
  <c r="Q247" i="7"/>
  <c r="Q259" i="7"/>
  <c r="W255" i="7"/>
  <c r="I19" i="25" s="1"/>
  <c r="Q276" i="7"/>
  <c r="Q263" i="7"/>
  <c r="Q277" i="7"/>
  <c r="AO277" i="7" s="1"/>
  <c r="Q264" i="7"/>
  <c r="Q250" i="7"/>
  <c r="I39" i="26"/>
  <c r="S275" i="7"/>
  <c r="I39" i="24" s="1"/>
  <c r="I15" i="24"/>
  <c r="Y274" i="7"/>
  <c r="I38" i="27" s="1"/>
  <c r="Y259" i="7"/>
  <c r="I23" i="27" s="1"/>
  <c r="I12" i="26"/>
  <c r="Y273" i="7"/>
  <c r="I37" i="27" s="1"/>
  <c r="AO259" i="7"/>
  <c r="I22" i="28" s="1"/>
  <c r="Y258" i="7"/>
  <c r="I22" i="27" s="1"/>
  <c r="AO273" i="7"/>
  <c r="I36" i="28" s="1"/>
  <c r="Y272" i="7"/>
  <c r="I36" i="27" s="1"/>
  <c r="AO258" i="7"/>
  <c r="I21" i="28" s="1"/>
  <c r="Y257" i="7"/>
  <c r="I21" i="27" s="1"/>
  <c r="AO272" i="7"/>
  <c r="I35" i="28" s="1"/>
  <c r="Y271" i="7"/>
  <c r="I35" i="27" s="1"/>
  <c r="Y256" i="7"/>
  <c r="I20" i="27" s="1"/>
  <c r="AO271" i="7"/>
  <c r="I34" i="28" s="1"/>
  <c r="Y270" i="7"/>
  <c r="I34" i="27" s="1"/>
  <c r="Y255" i="7"/>
  <c r="I19" i="27" s="1"/>
  <c r="Y269" i="7"/>
  <c r="I33" i="27" s="1"/>
  <c r="AO270" i="7"/>
  <c r="I33" i="28" s="1"/>
  <c r="Y254" i="7"/>
  <c r="I18" i="27" s="1"/>
  <c r="AO269" i="7"/>
  <c r="I32" i="28" s="1"/>
  <c r="Y268" i="7"/>
  <c r="I32" i="27" s="1"/>
  <c r="Y253" i="7"/>
  <c r="I17" i="27" s="1"/>
  <c r="Y267" i="7"/>
  <c r="I31" i="27" s="1"/>
  <c r="Y252" i="7"/>
  <c r="I16" i="27" s="1"/>
  <c r="Y266" i="7"/>
  <c r="I30" i="27" s="1"/>
  <c r="I15" i="26"/>
  <c r="Y265" i="7"/>
  <c r="I29" i="27" s="1"/>
  <c r="Y250" i="7"/>
  <c r="I14" i="27" s="1"/>
  <c r="Y264" i="7"/>
  <c r="I28" i="27" s="1"/>
  <c r="AO250" i="7"/>
  <c r="I13" i="28" s="1"/>
  <c r="Y249" i="7"/>
  <c r="I13" i="27" s="1"/>
  <c r="Y263" i="7"/>
  <c r="I27" i="27" s="1"/>
  <c r="AO263" i="7"/>
  <c r="I26" i="28" s="1"/>
  <c r="Y262" i="7"/>
  <c r="I26" i="27" s="1"/>
  <c r="Y247" i="7"/>
  <c r="I11" i="27" s="1"/>
  <c r="Y261" i="7"/>
  <c r="I25" i="27" s="1"/>
  <c r="AO262" i="7"/>
  <c r="I25" i="28" s="1"/>
  <c r="Y246" i="7"/>
  <c r="I10" i="27" s="1"/>
  <c r="AO261" i="7"/>
  <c r="I24" i="28" s="1"/>
  <c r="Y260" i="7"/>
  <c r="I24" i="27" s="1"/>
  <c r="W260" i="7"/>
  <c r="I24" i="25" s="1"/>
  <c r="I9" i="27"/>
  <c r="H26" i="9"/>
  <c r="H29" i="9"/>
  <c r="H32" i="9"/>
  <c r="H34" i="9"/>
  <c r="H35" i="9"/>
  <c r="H36" i="9"/>
  <c r="H37" i="9"/>
  <c r="H38" i="9"/>
  <c r="H24" i="9"/>
  <c r="H13" i="9"/>
  <c r="H14" i="9"/>
  <c r="H17" i="9"/>
  <c r="H18" i="9"/>
  <c r="H19" i="9"/>
  <c r="H20" i="9"/>
  <c r="H21" i="9"/>
  <c r="H22" i="9"/>
  <c r="H9" i="9"/>
  <c r="Q190" i="7"/>
  <c r="Q208" i="7"/>
  <c r="Q211" i="7"/>
  <c r="Q213" i="7"/>
  <c r="Q207" i="7"/>
  <c r="Q224" i="7"/>
  <c r="AO224" i="7" s="1"/>
  <c r="Q191" i="7"/>
  <c r="Q205" i="7"/>
  <c r="Q220" i="7"/>
  <c r="U219" i="7"/>
  <c r="H39" i="26" s="1"/>
  <c r="S219" i="7"/>
  <c r="H39" i="24" s="1"/>
  <c r="AE201" i="7"/>
  <c r="AO218" i="7"/>
  <c r="H38" i="28" s="1"/>
  <c r="Y218" i="7"/>
  <c r="H38" i="27" s="1"/>
  <c r="Y203" i="7"/>
  <c r="H23" i="27" s="1"/>
  <c r="AR203" i="7"/>
  <c r="AK200" i="7"/>
  <c r="AI200" i="7"/>
  <c r="H12" i="26"/>
  <c r="Y217" i="7"/>
  <c r="H37" i="27" s="1"/>
  <c r="AO217" i="7"/>
  <c r="H37" i="28" s="1"/>
  <c r="AO202" i="7"/>
  <c r="H22" i="28" s="1"/>
  <c r="Y202" i="7"/>
  <c r="H22" i="27" s="1"/>
  <c r="AR202" i="7"/>
  <c r="AK199" i="7"/>
  <c r="AI199" i="7"/>
  <c r="AO216" i="7"/>
  <c r="H36" i="28" s="1"/>
  <c r="Y216" i="7"/>
  <c r="H36" i="27" s="1"/>
  <c r="Y201" i="7"/>
  <c r="H21" i="27" s="1"/>
  <c r="AO201" i="7"/>
  <c r="H21" i="28" s="1"/>
  <c r="AK198" i="7"/>
  <c r="AI198" i="7"/>
  <c r="AO215" i="7"/>
  <c r="H35" i="28" s="1"/>
  <c r="Y215" i="7"/>
  <c r="H35" i="27" s="1"/>
  <c r="AO200" i="7"/>
  <c r="H20" i="28" s="1"/>
  <c r="Y200" i="7"/>
  <c r="H20" i="27" s="1"/>
  <c r="AR200" i="7"/>
  <c r="AK197" i="7"/>
  <c r="AI197" i="7"/>
  <c r="AO214" i="7"/>
  <c r="H34" i="28" s="1"/>
  <c r="Y214" i="7"/>
  <c r="H34" i="27" s="1"/>
  <c r="AR199" i="7"/>
  <c r="AK196" i="7"/>
  <c r="AI196" i="7"/>
  <c r="Y213" i="7"/>
  <c r="H33" i="27" s="1"/>
  <c r="Y198" i="7"/>
  <c r="H18" i="27" s="1"/>
  <c r="AO198" i="7"/>
  <c r="H18" i="28" s="1"/>
  <c r="AR198" i="7"/>
  <c r="AK195" i="7"/>
  <c r="AI195" i="7"/>
  <c r="AO212" i="7"/>
  <c r="H32" i="28" s="1"/>
  <c r="Y212" i="7"/>
  <c r="H32" i="27" s="1"/>
  <c r="AO197" i="7"/>
  <c r="H17" i="28" s="1"/>
  <c r="Y197" i="7"/>
  <c r="H17" i="27" s="1"/>
  <c r="AR197" i="7"/>
  <c r="AK194" i="7"/>
  <c r="AI194" i="7"/>
  <c r="Y211" i="7"/>
  <c r="H31" i="27" s="1"/>
  <c r="Y196" i="7"/>
  <c r="H16" i="27" s="1"/>
  <c r="AR196" i="7"/>
  <c r="AK193" i="7"/>
  <c r="AI193" i="7"/>
  <c r="Y210" i="7"/>
  <c r="H30" i="27" s="1"/>
  <c r="H15" i="26"/>
  <c r="AK192" i="7"/>
  <c r="AR195" i="7"/>
  <c r="Y209" i="7"/>
  <c r="H29" i="27" s="1"/>
  <c r="AO209" i="7"/>
  <c r="H29" i="28" s="1"/>
  <c r="Y194" i="7"/>
  <c r="H14" i="27" s="1"/>
  <c r="AR194" i="7"/>
  <c r="AK191" i="7"/>
  <c r="AI191" i="7"/>
  <c r="Y208" i="7"/>
  <c r="H28" i="27" s="1"/>
  <c r="AO193" i="7"/>
  <c r="H13" i="28" s="1"/>
  <c r="Y193" i="7"/>
  <c r="H13" i="27" s="1"/>
  <c r="AK190" i="7"/>
  <c r="AC201" i="7"/>
  <c r="Q195" i="7" s="1"/>
  <c r="Y207" i="7"/>
  <c r="H27" i="27" s="1"/>
  <c r="AR192" i="7"/>
  <c r="AK189" i="7"/>
  <c r="AI189" i="7"/>
  <c r="AO206" i="7"/>
  <c r="H26" i="28" s="1"/>
  <c r="Y206" i="7"/>
  <c r="H26" i="27" s="1"/>
  <c r="Y191" i="7"/>
  <c r="H11" i="27" s="1"/>
  <c r="AR191" i="7"/>
  <c r="AK188" i="7"/>
  <c r="AI188" i="7"/>
  <c r="Y205" i="7"/>
  <c r="H25" i="27" s="1"/>
  <c r="Y190" i="7"/>
  <c r="H10" i="27" s="1"/>
  <c r="AR190" i="7"/>
  <c r="AK187" i="7"/>
  <c r="AI187" i="7"/>
  <c r="Y204" i="7"/>
  <c r="H24" i="27" s="1"/>
  <c r="W204" i="7"/>
  <c r="H24" i="25" s="1"/>
  <c r="Y189" i="7"/>
  <c r="H9" i="27" s="1"/>
  <c r="W189" i="7"/>
  <c r="H9" i="25" s="1"/>
  <c r="AR189" i="7"/>
  <c r="AK186" i="7"/>
  <c r="AI186" i="7"/>
  <c r="Q141" i="7"/>
  <c r="Q132" i="7"/>
  <c r="AC138" i="7"/>
  <c r="AI138" i="7" s="1"/>
  <c r="Q137" i="7"/>
  <c r="AO160" i="7"/>
  <c r="G37" i="28" s="1"/>
  <c r="Q162" i="7"/>
  <c r="AC141" i="7"/>
  <c r="AI141" i="7" s="1"/>
  <c r="AC140" i="7"/>
  <c r="AI140" i="7" s="1"/>
  <c r="Q150" i="7"/>
  <c r="AC136" i="7"/>
  <c r="AR136" i="7" s="1"/>
  <c r="Q134" i="7"/>
  <c r="AI144" i="7"/>
  <c r="Q152" i="7"/>
  <c r="Q133" i="7"/>
  <c r="AO133" i="7" s="1"/>
  <c r="Q144" i="7"/>
  <c r="AC76" i="7"/>
  <c r="G26" i="9"/>
  <c r="G32" i="9"/>
  <c r="G34" i="9"/>
  <c r="G35" i="9"/>
  <c r="G36" i="9"/>
  <c r="G38" i="9"/>
  <c r="G24" i="9"/>
  <c r="G13" i="9"/>
  <c r="G17" i="9"/>
  <c r="G19" i="9"/>
  <c r="G20" i="9"/>
  <c r="G22" i="9"/>
  <c r="AO154" i="7"/>
  <c r="G31" i="28" s="1"/>
  <c r="AO156" i="7"/>
  <c r="G33" i="28" s="1"/>
  <c r="G25" i="9"/>
  <c r="AO142" i="7"/>
  <c r="G19" i="28" s="1"/>
  <c r="U162" i="7"/>
  <c r="G39" i="26" s="1"/>
  <c r="S162" i="7"/>
  <c r="G15" i="24"/>
  <c r="AO161" i="7"/>
  <c r="G38" i="28" s="1"/>
  <c r="Y161" i="7"/>
  <c r="G38" i="27" s="1"/>
  <c r="Y146" i="7"/>
  <c r="G23" i="27" s="1"/>
  <c r="AR146" i="7"/>
  <c r="AK146" i="7"/>
  <c r="AI146" i="7"/>
  <c r="G12" i="24"/>
  <c r="Y160" i="7"/>
  <c r="G37" i="27" s="1"/>
  <c r="G22" i="28"/>
  <c r="Y145" i="7"/>
  <c r="G22" i="27" s="1"/>
  <c r="AR145" i="7"/>
  <c r="AK145" i="7"/>
  <c r="AI145" i="7"/>
  <c r="AO159" i="7"/>
  <c r="G36" i="28" s="1"/>
  <c r="Y159" i="7"/>
  <c r="G36" i="27" s="1"/>
  <c r="Y144" i="7"/>
  <c r="G21" i="27" s="1"/>
  <c r="AK144" i="7"/>
  <c r="AO158" i="7"/>
  <c r="G35" i="28" s="1"/>
  <c r="Y158" i="7"/>
  <c r="G35" i="27" s="1"/>
  <c r="AO143" i="7"/>
  <c r="G20" i="28" s="1"/>
  <c r="Y143" i="7"/>
  <c r="G20" i="27" s="1"/>
  <c r="AK143" i="7"/>
  <c r="AI143" i="7"/>
  <c r="AR143" i="7"/>
  <c r="AO157" i="7"/>
  <c r="G34" i="28" s="1"/>
  <c r="Y157" i="7"/>
  <c r="G34" i="27" s="1"/>
  <c r="Y142" i="7"/>
  <c r="G19" i="27" s="1"/>
  <c r="AR142" i="7"/>
  <c r="AK142" i="7"/>
  <c r="AI142" i="7"/>
  <c r="Y156" i="7"/>
  <c r="G33" i="27" s="1"/>
  <c r="Y141" i="7"/>
  <c r="G18" i="27" s="1"/>
  <c r="AK141" i="7"/>
  <c r="AO155" i="7"/>
  <c r="G32" i="28" s="1"/>
  <c r="Y155" i="7"/>
  <c r="G32" i="27" s="1"/>
  <c r="AO140" i="7"/>
  <c r="G17" i="28" s="1"/>
  <c r="Y140" i="7"/>
  <c r="G17" i="27" s="1"/>
  <c r="AK140" i="7"/>
  <c r="Y154" i="7"/>
  <c r="G31" i="27" s="1"/>
  <c r="Y139" i="7"/>
  <c r="G16" i="27" s="1"/>
  <c r="AR139" i="7"/>
  <c r="AK139" i="7"/>
  <c r="AI139" i="7"/>
  <c r="Y153" i="7"/>
  <c r="G30" i="27" s="1"/>
  <c r="G15" i="26"/>
  <c r="AK138" i="7"/>
  <c r="Y152" i="7"/>
  <c r="G29" i="27" s="1"/>
  <c r="Y137" i="7"/>
  <c r="G14" i="27" s="1"/>
  <c r="AR137" i="7"/>
  <c r="AK137" i="7"/>
  <c r="AI137" i="7"/>
  <c r="Y151" i="7"/>
  <c r="G28" i="27" s="1"/>
  <c r="AO136" i="7"/>
  <c r="G13" i="28" s="1"/>
  <c r="Y136" i="7"/>
  <c r="G13" i="27" s="1"/>
  <c r="AK136" i="7"/>
  <c r="Y150" i="7"/>
  <c r="G27" i="27" s="1"/>
  <c r="AR135" i="7"/>
  <c r="AK135" i="7"/>
  <c r="AI135" i="7"/>
  <c r="G26" i="28"/>
  <c r="Y149" i="7"/>
  <c r="G26" i="27" s="1"/>
  <c r="Y134" i="7"/>
  <c r="G11" i="27" s="1"/>
  <c r="AR134" i="7"/>
  <c r="AK134" i="7"/>
  <c r="AI134" i="7"/>
  <c r="AO148" i="7"/>
  <c r="G25" i="28" s="1"/>
  <c r="Y148" i="7"/>
  <c r="G25" i="27" s="1"/>
  <c r="Y133" i="7"/>
  <c r="G10" i="27" s="1"/>
  <c r="AR133" i="7"/>
  <c r="AK133" i="7"/>
  <c r="AI133" i="7"/>
  <c r="AO147" i="7"/>
  <c r="G24" i="28" s="1"/>
  <c r="Y147" i="7"/>
  <c r="G24" i="27" s="1"/>
  <c r="W147" i="7"/>
  <c r="G24" i="25" s="1"/>
  <c r="Y132" i="7"/>
  <c r="G9" i="27" s="1"/>
  <c r="AK132" i="7"/>
  <c r="AI132" i="7"/>
  <c r="AC75" i="7"/>
  <c r="Q71" i="7"/>
  <c r="AO71" i="7" s="1"/>
  <c r="Q70" i="7"/>
  <c r="F25" i="9"/>
  <c r="F26" i="9"/>
  <c r="F27" i="9"/>
  <c r="F28" i="9"/>
  <c r="F30" i="9"/>
  <c r="F31" i="9"/>
  <c r="F32" i="9"/>
  <c r="F33" i="9"/>
  <c r="F34" i="9"/>
  <c r="F35" i="9"/>
  <c r="F36" i="9"/>
  <c r="F38" i="9"/>
  <c r="F11" i="9"/>
  <c r="F13" i="9"/>
  <c r="F14" i="9"/>
  <c r="F16" i="9"/>
  <c r="F17" i="9"/>
  <c r="F18" i="9"/>
  <c r="F20" i="9"/>
  <c r="F21" i="9"/>
  <c r="F22" i="9"/>
  <c r="F23" i="9"/>
  <c r="F39" i="24"/>
  <c r="AC71" i="7"/>
  <c r="Q90" i="7"/>
  <c r="AO90" i="7" s="1"/>
  <c r="W34" i="7"/>
  <c r="E32" i="25" s="1"/>
  <c r="Q32" i="25" s="1"/>
  <c r="R32" i="25" s="1"/>
  <c r="W30" i="7"/>
  <c r="E28" i="25" s="1"/>
  <c r="W33" i="7"/>
  <c r="E31" i="25" s="1"/>
  <c r="Q31" i="27" l="1"/>
  <c r="R31" i="27" s="1"/>
  <c r="Q33" i="27"/>
  <c r="R33" i="27" s="1"/>
  <c r="G39" i="24"/>
  <c r="Y162" i="7"/>
  <c r="W162" i="7"/>
  <c r="AO361" i="7"/>
  <c r="K16" i="28" s="1"/>
  <c r="K9" i="9"/>
  <c r="W354" i="7"/>
  <c r="I9" i="28"/>
  <c r="W245" i="7"/>
  <c r="I9" i="25" s="1"/>
  <c r="AC82" i="7"/>
  <c r="S195" i="7"/>
  <c r="H15" i="24" s="1"/>
  <c r="W213" i="7"/>
  <c r="H33" i="25" s="1"/>
  <c r="Q219" i="7"/>
  <c r="H39" i="9" s="1"/>
  <c r="AO220" i="7"/>
  <c r="AO132" i="7"/>
  <c r="G9" i="28" s="1"/>
  <c r="AI201" i="7"/>
  <c r="W190" i="7"/>
  <c r="H10" i="25" s="1"/>
  <c r="W207" i="7"/>
  <c r="H27" i="25" s="1"/>
  <c r="AK201" i="7"/>
  <c r="AO162" i="7"/>
  <c r="G39" i="28" s="1"/>
  <c r="AK147" i="7"/>
  <c r="F9" i="9"/>
  <c r="AO70" i="7"/>
  <c r="W70" i="7"/>
  <c r="F24" i="9"/>
  <c r="W361" i="7"/>
  <c r="K16" i="25" s="1"/>
  <c r="G39" i="9"/>
  <c r="G39" i="25"/>
  <c r="I23" i="9"/>
  <c r="W259" i="7"/>
  <c r="I23" i="25" s="1"/>
  <c r="K23" i="9"/>
  <c r="W368" i="7"/>
  <c r="K23" i="25" s="1"/>
  <c r="G14" i="9"/>
  <c r="W137" i="7"/>
  <c r="G14" i="25" s="1"/>
  <c r="AO267" i="7"/>
  <c r="I30" i="28" s="1"/>
  <c r="W266" i="7"/>
  <c r="I30" i="25" s="1"/>
  <c r="G10" i="28"/>
  <c r="W133" i="7"/>
  <c r="G10" i="25" s="1"/>
  <c r="G23" i="9"/>
  <c r="W146" i="7"/>
  <c r="G23" i="25" s="1"/>
  <c r="H31" i="9"/>
  <c r="W211" i="7"/>
  <c r="H31" i="25" s="1"/>
  <c r="I12" i="9"/>
  <c r="AO274" i="7"/>
  <c r="I37" i="28" s="1"/>
  <c r="W273" i="7"/>
  <c r="I37" i="25" s="1"/>
  <c r="H23" i="28"/>
  <c r="W203" i="7"/>
  <c r="H23" i="25" s="1"/>
  <c r="I10" i="9"/>
  <c r="W246" i="7"/>
  <c r="I10" i="25" s="1"/>
  <c r="AO376" i="7"/>
  <c r="K31" i="28" s="1"/>
  <c r="W376" i="7"/>
  <c r="K31" i="25" s="1"/>
  <c r="F39" i="25"/>
  <c r="F10" i="9"/>
  <c r="W71" i="7"/>
  <c r="F10" i="25" s="1"/>
  <c r="AO153" i="7"/>
  <c r="G30" i="28" s="1"/>
  <c r="W153" i="7"/>
  <c r="G30" i="25" s="1"/>
  <c r="H28" i="9"/>
  <c r="W208" i="7"/>
  <c r="H28" i="25" s="1"/>
  <c r="I28" i="9"/>
  <c r="W264" i="7"/>
  <c r="I28" i="25" s="1"/>
  <c r="K12" i="9"/>
  <c r="K10" i="9"/>
  <c r="W355" i="7"/>
  <c r="K10" i="25" s="1"/>
  <c r="F37" i="9"/>
  <c r="W98" i="7"/>
  <c r="F37" i="25" s="1"/>
  <c r="AO380" i="7"/>
  <c r="K35" i="28" s="1"/>
  <c r="W380" i="7"/>
  <c r="K35" i="25" s="1"/>
  <c r="Q35" i="25" s="1"/>
  <c r="R35" i="25" s="1"/>
  <c r="AO151" i="7"/>
  <c r="G28" i="28" s="1"/>
  <c r="W151" i="7"/>
  <c r="G28" i="25" s="1"/>
  <c r="I11" i="9"/>
  <c r="W247" i="7"/>
  <c r="I11" i="25" s="1"/>
  <c r="I29" i="9"/>
  <c r="W265" i="7"/>
  <c r="I29" i="25" s="1"/>
  <c r="AO365" i="7"/>
  <c r="K20" i="28" s="1"/>
  <c r="W365" i="7"/>
  <c r="K20" i="25" s="1"/>
  <c r="AO251" i="7"/>
  <c r="I14" i="28" s="1"/>
  <c r="W250" i="7"/>
  <c r="I14" i="25" s="1"/>
  <c r="AO134" i="7"/>
  <c r="G11" i="28" s="1"/>
  <c r="W134" i="7"/>
  <c r="G11" i="25" s="1"/>
  <c r="G18" i="9"/>
  <c r="W141" i="7"/>
  <c r="G18" i="25" s="1"/>
  <c r="Q18" i="25" s="1"/>
  <c r="R18" i="25" s="1"/>
  <c r="H12" i="9"/>
  <c r="I27" i="9"/>
  <c r="W263" i="7"/>
  <c r="I27" i="25" s="1"/>
  <c r="I17" i="9"/>
  <c r="W253" i="7"/>
  <c r="I17" i="25" s="1"/>
  <c r="Q17" i="25" s="1"/>
  <c r="R17" i="25" s="1"/>
  <c r="K26" i="9"/>
  <c r="W371" i="7"/>
  <c r="K26" i="25" s="1"/>
  <c r="Q26" i="25" s="1"/>
  <c r="R26" i="25" s="1"/>
  <c r="AO144" i="7"/>
  <c r="G21" i="28" s="1"/>
  <c r="W144" i="7"/>
  <c r="G21" i="25" s="1"/>
  <c r="Q21" i="25" s="1"/>
  <c r="R21" i="25" s="1"/>
  <c r="K39" i="9"/>
  <c r="W384" i="7"/>
  <c r="K39" i="25" s="1"/>
  <c r="H25" i="9"/>
  <c r="W205" i="7"/>
  <c r="H25" i="25" s="1"/>
  <c r="Q25" i="25" s="1"/>
  <c r="R25" i="25" s="1"/>
  <c r="AO268" i="7"/>
  <c r="I31" i="28" s="1"/>
  <c r="W267" i="7"/>
  <c r="I31" i="25" s="1"/>
  <c r="AO375" i="7"/>
  <c r="K30" i="28" s="1"/>
  <c r="W375" i="7"/>
  <c r="K30" i="25" s="1"/>
  <c r="F19" i="9"/>
  <c r="W80" i="7"/>
  <c r="F19" i="25" s="1"/>
  <c r="G27" i="9"/>
  <c r="W150" i="7"/>
  <c r="G27" i="25" s="1"/>
  <c r="AO191" i="7"/>
  <c r="H11" i="28" s="1"/>
  <c r="W191" i="7"/>
  <c r="H11" i="25" s="1"/>
  <c r="AO152" i="7"/>
  <c r="G29" i="28" s="1"/>
  <c r="W152" i="7"/>
  <c r="G29" i="25" s="1"/>
  <c r="AO210" i="7"/>
  <c r="H30" i="28" s="1"/>
  <c r="W210" i="7"/>
  <c r="H30" i="25" s="1"/>
  <c r="I18" i="9"/>
  <c r="W254" i="7"/>
  <c r="I18" i="25" s="1"/>
  <c r="AO373" i="7"/>
  <c r="K28" i="28" s="1"/>
  <c r="W373" i="7"/>
  <c r="K28" i="25" s="1"/>
  <c r="F29" i="9"/>
  <c r="W90" i="7"/>
  <c r="F29" i="25" s="1"/>
  <c r="I20" i="9"/>
  <c r="W256" i="7"/>
  <c r="I20" i="25" s="1"/>
  <c r="AO275" i="7"/>
  <c r="I38" i="28" s="1"/>
  <c r="W274" i="7"/>
  <c r="I38" i="25" s="1"/>
  <c r="Q38" i="25" s="1"/>
  <c r="R38" i="25" s="1"/>
  <c r="AO150" i="7"/>
  <c r="G27" i="28" s="1"/>
  <c r="AO355" i="7"/>
  <c r="K10" i="28" s="1"/>
  <c r="K31" i="9"/>
  <c r="K30" i="9"/>
  <c r="K35" i="9"/>
  <c r="K37" i="9"/>
  <c r="AO141" i="7"/>
  <c r="G18" i="28" s="1"/>
  <c r="AO264" i="7"/>
  <c r="I27" i="28" s="1"/>
  <c r="AO254" i="7"/>
  <c r="I17" i="28" s="1"/>
  <c r="G11" i="9"/>
  <c r="AO207" i="7"/>
  <c r="H27" i="28" s="1"/>
  <c r="I9" i="9"/>
  <c r="Y384" i="7"/>
  <c r="K39" i="27" s="1"/>
  <c r="K9" i="25"/>
  <c r="AO266" i="7"/>
  <c r="I29" i="28" s="1"/>
  <c r="I14" i="9"/>
  <c r="K9" i="28"/>
  <c r="Q275" i="7"/>
  <c r="I15" i="27"/>
  <c r="I16" i="9"/>
  <c r="K16" i="9"/>
  <c r="AO253" i="7"/>
  <c r="I16" i="28" s="1"/>
  <c r="AR141" i="7"/>
  <c r="Y360" i="7"/>
  <c r="K15" i="27" s="1"/>
  <c r="AO256" i="7"/>
  <c r="I19" i="28" s="1"/>
  <c r="I31" i="9"/>
  <c r="AO368" i="7"/>
  <c r="K23" i="28" s="1"/>
  <c r="AO255" i="7"/>
  <c r="I18" i="28" s="1"/>
  <c r="AO137" i="7"/>
  <c r="G14" i="28" s="1"/>
  <c r="AO257" i="7"/>
  <c r="I20" i="28" s="1"/>
  <c r="Y275" i="7"/>
  <c r="I39" i="27" s="1"/>
  <c r="I19" i="9"/>
  <c r="I38" i="9"/>
  <c r="I37" i="9"/>
  <c r="AO265" i="7"/>
  <c r="I28" i="28" s="1"/>
  <c r="AO247" i="7"/>
  <c r="I10" i="28" s="1"/>
  <c r="H23" i="9"/>
  <c r="AO260" i="7"/>
  <c r="I23" i="28" s="1"/>
  <c r="I30" i="9"/>
  <c r="AO371" i="7"/>
  <c r="K26" i="28" s="1"/>
  <c r="K20" i="9"/>
  <c r="F39" i="27"/>
  <c r="K39" i="28"/>
  <c r="Q360" i="7"/>
  <c r="AO360" i="7" s="1"/>
  <c r="AO362" i="7"/>
  <c r="K17" i="28" s="1"/>
  <c r="AO382" i="7"/>
  <c r="K37" i="28" s="1"/>
  <c r="K12" i="24"/>
  <c r="I15" i="25"/>
  <c r="I12" i="24"/>
  <c r="AO248" i="7"/>
  <c r="I11" i="28" s="1"/>
  <c r="G15" i="27"/>
  <c r="G21" i="9"/>
  <c r="AO211" i="7"/>
  <c r="H31" i="28" s="1"/>
  <c r="G39" i="27"/>
  <c r="AR144" i="7"/>
  <c r="H33" i="9"/>
  <c r="AO205" i="7"/>
  <c r="H25" i="28" s="1"/>
  <c r="H30" i="9"/>
  <c r="Y195" i="7"/>
  <c r="H15" i="27" s="1"/>
  <c r="H11" i="9"/>
  <c r="F39" i="28"/>
  <c r="F39" i="9"/>
  <c r="AO190" i="7"/>
  <c r="H10" i="28" s="1"/>
  <c r="AR138" i="7"/>
  <c r="G37" i="9"/>
  <c r="H16" i="9"/>
  <c r="W132" i="7"/>
  <c r="G9" i="25" s="1"/>
  <c r="Y219" i="7"/>
  <c r="H39" i="27" s="1"/>
  <c r="AO213" i="7"/>
  <c r="H33" i="28" s="1"/>
  <c r="H10" i="9"/>
  <c r="H27" i="9"/>
  <c r="G30" i="9"/>
  <c r="AO146" i="7"/>
  <c r="G23" i="28" s="1"/>
  <c r="G29" i="9"/>
  <c r="AO196" i="7"/>
  <c r="H16" i="28" s="1"/>
  <c r="AR204" i="7"/>
  <c r="AO208" i="7"/>
  <c r="H28" i="28" s="1"/>
  <c r="AO194" i="7"/>
  <c r="H14" i="28" s="1"/>
  <c r="AR201" i="7"/>
  <c r="H12" i="24"/>
  <c r="AI190" i="7"/>
  <c r="AR193" i="7"/>
  <c r="AI192" i="7"/>
  <c r="G9" i="9"/>
  <c r="AR140" i="7"/>
  <c r="G33" i="9"/>
  <c r="G16" i="9"/>
  <c r="G31" i="9"/>
  <c r="G10" i="9"/>
  <c r="G28" i="9"/>
  <c r="AO139" i="7"/>
  <c r="G16" i="28" s="1"/>
  <c r="AC147" i="7"/>
  <c r="AI136" i="7"/>
  <c r="AO219" i="7" l="1"/>
  <c r="H39" i="28" s="1"/>
  <c r="Q14" i="25"/>
  <c r="R14" i="25" s="1"/>
  <c r="Q28" i="25"/>
  <c r="R28" i="25" s="1"/>
  <c r="Q30" i="25"/>
  <c r="R30" i="25" s="1"/>
  <c r="Q27" i="25"/>
  <c r="R27" i="25" s="1"/>
  <c r="Q31" i="25"/>
  <c r="R31" i="25" s="1"/>
  <c r="Q11" i="25"/>
  <c r="R11" i="25" s="1"/>
  <c r="Q29" i="25"/>
  <c r="R29" i="25" s="1"/>
  <c r="AO357" i="7"/>
  <c r="K12" i="28" s="1"/>
  <c r="W219" i="7"/>
  <c r="H39" i="25" s="1"/>
  <c r="Q138" i="7"/>
  <c r="W138" i="7" s="1"/>
  <c r="AI147" i="7"/>
  <c r="AR147" i="7"/>
  <c r="I39" i="9"/>
  <c r="W275" i="7"/>
  <c r="I39" i="25" s="1"/>
  <c r="H15" i="9"/>
  <c r="W195" i="7"/>
  <c r="H15" i="25" s="1"/>
  <c r="K15" i="9"/>
  <c r="W360" i="7"/>
  <c r="K15" i="25" s="1"/>
  <c r="W248" i="7"/>
  <c r="I12" i="25" s="1"/>
  <c r="W192" i="7"/>
  <c r="H12" i="25" s="1"/>
  <c r="Y135" i="7"/>
  <c r="G12" i="27" s="1"/>
  <c r="G12" i="26"/>
  <c r="G12" i="9"/>
  <c r="W135" i="7"/>
  <c r="G12" i="25" s="1"/>
  <c r="W357" i="7"/>
  <c r="K12" i="25" s="1"/>
  <c r="Y248" i="7"/>
  <c r="I12" i="27" s="1"/>
  <c r="Y192" i="7"/>
  <c r="H12" i="27" s="1"/>
  <c r="AO276" i="7"/>
  <c r="I39" i="28" s="1"/>
  <c r="I15" i="28"/>
  <c r="I15" i="9"/>
  <c r="Y357" i="7"/>
  <c r="K12" i="27" s="1"/>
  <c r="K15" i="28"/>
  <c r="AO249" i="7"/>
  <c r="I12" i="28" s="1"/>
  <c r="AO192" i="7"/>
  <c r="H12" i="28" s="1"/>
  <c r="AO195" i="7"/>
  <c r="H15" i="28" s="1"/>
  <c r="AO135" i="7"/>
  <c r="G12" i="28" s="1"/>
  <c r="G15" i="9" l="1"/>
  <c r="G15" i="25"/>
  <c r="AO138" i="7"/>
  <c r="G15" i="28" s="1"/>
  <c r="F38" i="28" l="1"/>
  <c r="Y84" i="7"/>
  <c r="F23" i="27" s="1"/>
  <c r="F23" i="28"/>
  <c r="AR84" i="7"/>
  <c r="AK81" i="7"/>
  <c r="AI81" i="7"/>
  <c r="F12" i="26"/>
  <c r="Y98" i="7"/>
  <c r="F37" i="27" s="1"/>
  <c r="Q37" i="27" s="1"/>
  <c r="R37" i="27" s="1"/>
  <c r="F37" i="28"/>
  <c r="Y83" i="7"/>
  <c r="F22" i="27" s="1"/>
  <c r="AR83" i="7"/>
  <c r="AK80" i="7"/>
  <c r="AI80" i="7"/>
  <c r="F36" i="28"/>
  <c r="Y97" i="7"/>
  <c r="F36" i="27" s="1"/>
  <c r="Q36" i="27" s="1"/>
  <c r="R36" i="27" s="1"/>
  <c r="F21" i="28"/>
  <c r="Y82" i="7"/>
  <c r="F21" i="27" s="1"/>
  <c r="AR82" i="7"/>
  <c r="F35" i="28"/>
  <c r="Y96" i="7"/>
  <c r="F35" i="27" s="1"/>
  <c r="Q35" i="27" s="1"/>
  <c r="R35" i="27" s="1"/>
  <c r="F20" i="28"/>
  <c r="Y81" i="7"/>
  <c r="F20" i="27" s="1"/>
  <c r="AR81" i="7"/>
  <c r="AK78" i="7"/>
  <c r="AI78" i="7"/>
  <c r="F34" i="28"/>
  <c r="Y95" i="7"/>
  <c r="F34" i="27" s="1"/>
  <c r="Q34" i="27" s="1"/>
  <c r="R34" i="27" s="1"/>
  <c r="AR80" i="7"/>
  <c r="AI77" i="7"/>
  <c r="AK77" i="7"/>
  <c r="F33" i="28"/>
  <c r="F18" i="28"/>
  <c r="Y79" i="7"/>
  <c r="F18" i="27" s="1"/>
  <c r="AR79" i="7"/>
  <c r="AK76" i="7"/>
  <c r="F32" i="28"/>
  <c r="Y93" i="7"/>
  <c r="F32" i="27" s="1"/>
  <c r="Q32" i="27" s="1"/>
  <c r="R32" i="27" s="1"/>
  <c r="F17" i="28"/>
  <c r="AR78" i="7"/>
  <c r="F31" i="28"/>
  <c r="Y77" i="7"/>
  <c r="F16" i="27" s="1"/>
  <c r="F16" i="28"/>
  <c r="AR77" i="7"/>
  <c r="AK74" i="7"/>
  <c r="AI74" i="7"/>
  <c r="F30" i="28"/>
  <c r="Y91" i="7"/>
  <c r="F30" i="27" s="1"/>
  <c r="Q30" i="27" s="1"/>
  <c r="R30" i="27" s="1"/>
  <c r="U76" i="7"/>
  <c r="F15" i="26" s="1"/>
  <c r="AI73" i="7"/>
  <c r="AR76" i="7"/>
  <c r="F29" i="28"/>
  <c r="F14" i="28"/>
  <c r="AR75" i="7"/>
  <c r="AK72" i="7"/>
  <c r="AI72" i="7"/>
  <c r="Y80" i="7"/>
  <c r="F19" i="27" s="1"/>
  <c r="F28" i="28"/>
  <c r="Y89" i="7"/>
  <c r="F28" i="27" s="1"/>
  <c r="Q28" i="27" s="1"/>
  <c r="R28" i="27" s="1"/>
  <c r="F13" i="28"/>
  <c r="Y74" i="7"/>
  <c r="F13" i="27" s="1"/>
  <c r="F27" i="28"/>
  <c r="Y88" i="7"/>
  <c r="F27" i="27" s="1"/>
  <c r="Q27" i="27" s="1"/>
  <c r="R27" i="27" s="1"/>
  <c r="AR73" i="7"/>
  <c r="AK70" i="7"/>
  <c r="AI70" i="7"/>
  <c r="F26" i="28"/>
  <c r="Y87" i="7"/>
  <c r="F26" i="27" s="1"/>
  <c r="Q26" i="27" s="1"/>
  <c r="R26" i="27" s="1"/>
  <c r="F11" i="28"/>
  <c r="AR72" i="7"/>
  <c r="AK69" i="7"/>
  <c r="AI69" i="7"/>
  <c r="F25" i="28"/>
  <c r="Y86" i="7"/>
  <c r="F25" i="27" s="1"/>
  <c r="Q25" i="27" s="1"/>
  <c r="R25" i="27" s="1"/>
  <c r="F10" i="28"/>
  <c r="Y71" i="7"/>
  <c r="F10" i="27" s="1"/>
  <c r="AR71" i="7"/>
  <c r="AK68" i="7"/>
  <c r="AI68" i="7"/>
  <c r="F24" i="28"/>
  <c r="Y85" i="7"/>
  <c r="F24" i="27" s="1"/>
  <c r="Q24" i="27" s="1"/>
  <c r="R24" i="27" s="1"/>
  <c r="W85" i="7"/>
  <c r="F24" i="25" s="1"/>
  <c r="Y70" i="7"/>
  <c r="F9" i="27" s="1"/>
  <c r="F9" i="25"/>
  <c r="AK67" i="7"/>
  <c r="AI67" i="7"/>
  <c r="AO28" i="7"/>
  <c r="E30" i="28" s="1"/>
  <c r="AO22" i="7"/>
  <c r="E24" i="28" s="1"/>
  <c r="AO34" i="7"/>
  <c r="E36" i="28" s="1"/>
  <c r="Q36" i="28" s="1"/>
  <c r="R36" i="28" s="1"/>
  <c r="AO33" i="7"/>
  <c r="E35" i="28" s="1"/>
  <c r="AO32" i="7"/>
  <c r="E34" i="28" s="1"/>
  <c r="Q34" i="28" s="1"/>
  <c r="R34" i="28" s="1"/>
  <c r="AO30" i="7"/>
  <c r="E32" i="28" s="1"/>
  <c r="AO24" i="7"/>
  <c r="E26" i="28" s="1"/>
  <c r="Q26" i="28" s="1"/>
  <c r="R26" i="28" s="1"/>
  <c r="AO23" i="7"/>
  <c r="E25" i="28" s="1"/>
  <c r="AO19" i="7"/>
  <c r="E21" i="28" s="1"/>
  <c r="Q21" i="28" s="1"/>
  <c r="R21" i="28" s="1"/>
  <c r="AR8" i="7"/>
  <c r="AR9" i="7"/>
  <c r="AR10" i="7"/>
  <c r="AR12" i="7"/>
  <c r="AR14" i="7"/>
  <c r="AR18" i="7"/>
  <c r="AR20" i="7"/>
  <c r="AR21" i="7"/>
  <c r="E15" i="26"/>
  <c r="AO36" i="7"/>
  <c r="E38" i="28" s="1"/>
  <c r="Q38" i="28" s="1"/>
  <c r="R38" i="28" s="1"/>
  <c r="AR11" i="7"/>
  <c r="AR16" i="7"/>
  <c r="Y15" i="7"/>
  <c r="E13" i="27" s="1"/>
  <c r="AR19" i="7"/>
  <c r="AO9" i="7"/>
  <c r="E11" i="28" s="1"/>
  <c r="Y24" i="7"/>
  <c r="E22" i="27" s="1"/>
  <c r="AO17" i="7"/>
  <c r="E19" i="28" s="1"/>
  <c r="Y16" i="7"/>
  <c r="E14" i="27" s="1"/>
  <c r="AI13" i="7"/>
  <c r="AR17" i="7"/>
  <c r="E25" i="9"/>
  <c r="Q25" i="9" s="1"/>
  <c r="R25" i="9" s="1"/>
  <c r="E26" i="9"/>
  <c r="Q26" i="9" s="1"/>
  <c r="R26" i="9" s="1"/>
  <c r="E27" i="9"/>
  <c r="Q27" i="9" s="1"/>
  <c r="R27" i="9" s="1"/>
  <c r="E28" i="9"/>
  <c r="Q28" i="9" s="1"/>
  <c r="R28" i="9" s="1"/>
  <c r="E29" i="9"/>
  <c r="Q29" i="9" s="1"/>
  <c r="R29" i="9" s="1"/>
  <c r="E30" i="9"/>
  <c r="Q30" i="9" s="1"/>
  <c r="R30" i="9" s="1"/>
  <c r="E32" i="9"/>
  <c r="Q32" i="9" s="1"/>
  <c r="R32" i="9" s="1"/>
  <c r="E34" i="9"/>
  <c r="Q34" i="9" s="1"/>
  <c r="R34" i="9" s="1"/>
  <c r="E35" i="9"/>
  <c r="Q35" i="9" s="1"/>
  <c r="R35" i="9" s="1"/>
  <c r="E36" i="9"/>
  <c r="Q36" i="9" s="1"/>
  <c r="R36" i="9" s="1"/>
  <c r="E38" i="9"/>
  <c r="Q38" i="9" s="1"/>
  <c r="R38" i="9" s="1"/>
  <c r="E24" i="9"/>
  <c r="Q24" i="9" s="1"/>
  <c r="R24" i="9" s="1"/>
  <c r="E11" i="9"/>
  <c r="Q11" i="9" s="1"/>
  <c r="R11" i="9" s="1"/>
  <c r="E13" i="9"/>
  <c r="Q13" i="9" s="1"/>
  <c r="R13" i="9" s="1"/>
  <c r="E14" i="9"/>
  <c r="Q14" i="9" s="1"/>
  <c r="R14" i="9" s="1"/>
  <c r="E17" i="9"/>
  <c r="Q17" i="9" s="1"/>
  <c r="R17" i="9" s="1"/>
  <c r="E18" i="9"/>
  <c r="Q18" i="9" s="1"/>
  <c r="R18" i="9" s="1"/>
  <c r="E19" i="9"/>
  <c r="Q19" i="9" s="1"/>
  <c r="R19" i="9" s="1"/>
  <c r="E21" i="9"/>
  <c r="Q21" i="9" s="1"/>
  <c r="R21" i="9" s="1"/>
  <c r="E22" i="9"/>
  <c r="Q22" i="9" s="1"/>
  <c r="R22" i="9" s="1"/>
  <c r="Q12" i="7"/>
  <c r="W12" i="7" s="1"/>
  <c r="E10" i="25" s="1"/>
  <c r="Q10" i="25" s="1"/>
  <c r="R10" i="25" s="1"/>
  <c r="Q11" i="7"/>
  <c r="AO7" i="7" s="1"/>
  <c r="E16" i="25"/>
  <c r="E31" i="9"/>
  <c r="Q31" i="9" s="1"/>
  <c r="R31" i="9" s="1"/>
  <c r="W35" i="7"/>
  <c r="E33" i="25" s="1"/>
  <c r="Q33" i="25" s="1"/>
  <c r="R33" i="25" s="1"/>
  <c r="W25" i="7"/>
  <c r="E23" i="25" s="1"/>
  <c r="Q23" i="25" s="1"/>
  <c r="R23" i="25" s="1"/>
  <c r="AI42" i="7"/>
  <c r="E39" i="26"/>
  <c r="Q39" i="26" s="1"/>
  <c r="R39" i="26" s="1"/>
  <c r="AC22" i="7"/>
  <c r="Q17" i="7" s="1"/>
  <c r="Y25" i="7"/>
  <c r="E23" i="27" s="1"/>
  <c r="Q23" i="27" s="1"/>
  <c r="R23" i="27" s="1"/>
  <c r="AK21" i="7"/>
  <c r="AI21" i="7"/>
  <c r="AG45" i="7"/>
  <c r="U14" i="7" s="1"/>
  <c r="AK20" i="7"/>
  <c r="AI20" i="7"/>
  <c r="AK44" i="7"/>
  <c r="AI44" i="7"/>
  <c r="Y23" i="7"/>
  <c r="E21" i="27" s="1"/>
  <c r="Q21" i="27" s="1"/>
  <c r="R21" i="27" s="1"/>
  <c r="AK43" i="7"/>
  <c r="AI43" i="7"/>
  <c r="Y22" i="7"/>
  <c r="E20" i="27" s="1"/>
  <c r="Q20" i="27" s="1"/>
  <c r="R20" i="27" s="1"/>
  <c r="AK18" i="7"/>
  <c r="AI18" i="7"/>
  <c r="AK42" i="7"/>
  <c r="AK17" i="7"/>
  <c r="AI17" i="7"/>
  <c r="AK41" i="7"/>
  <c r="AI41" i="7"/>
  <c r="AK40" i="7"/>
  <c r="AI40" i="7"/>
  <c r="AK39" i="7"/>
  <c r="AI39" i="7"/>
  <c r="AK14" i="7"/>
  <c r="AI14" i="7"/>
  <c r="AK38" i="7"/>
  <c r="AI38" i="7"/>
  <c r="AK37" i="7"/>
  <c r="AI37" i="7"/>
  <c r="AK12" i="7"/>
  <c r="AI12" i="7"/>
  <c r="AR32" i="7"/>
  <c r="AK11" i="7"/>
  <c r="AK31" i="7"/>
  <c r="AI31" i="7"/>
  <c r="AK10" i="7"/>
  <c r="AI10" i="7"/>
  <c r="AK30" i="7"/>
  <c r="AI30" i="7"/>
  <c r="AK9" i="7"/>
  <c r="AI9" i="7"/>
  <c r="Y12" i="7"/>
  <c r="E10" i="27" s="1"/>
  <c r="Q10" i="27" s="1"/>
  <c r="R10" i="27" s="1"/>
  <c r="AK8" i="7"/>
  <c r="AI8" i="7"/>
  <c r="W26" i="7"/>
  <c r="E24" i="25" s="1"/>
  <c r="Q24" i="25" s="1"/>
  <c r="R24" i="25" s="1"/>
  <c r="Q13" i="27" l="1"/>
  <c r="R13" i="27" s="1"/>
  <c r="Q15" i="26"/>
  <c r="R15" i="26" s="1"/>
  <c r="Q32" i="28"/>
  <c r="R32" i="28" s="1"/>
  <c r="Q25" i="28"/>
  <c r="R25" i="28" s="1"/>
  <c r="Q35" i="28"/>
  <c r="R35" i="28" s="1"/>
  <c r="Q24" i="28"/>
  <c r="R24" i="28" s="1"/>
  <c r="Q22" i="27"/>
  <c r="R22" i="27" s="1"/>
  <c r="Q30" i="28"/>
  <c r="R30" i="28" s="1"/>
  <c r="Q11" i="28"/>
  <c r="R11" i="28" s="1"/>
  <c r="Q76" i="7"/>
  <c r="AO76" i="7" s="1"/>
  <c r="AR85" i="7"/>
  <c r="AI82" i="7"/>
  <c r="AC36" i="7"/>
  <c r="AR35" i="7"/>
  <c r="AR45" i="7"/>
  <c r="W11" i="7"/>
  <c r="E9" i="25" s="1"/>
  <c r="Q9" i="25" s="1"/>
  <c r="R9" i="25" s="1"/>
  <c r="AK36" i="7"/>
  <c r="E12" i="26"/>
  <c r="Q12" i="26" s="1"/>
  <c r="R12" i="26" s="1"/>
  <c r="E12" i="24"/>
  <c r="E39" i="24"/>
  <c r="Q39" i="24" s="1"/>
  <c r="R39" i="24" s="1"/>
  <c r="Y41" i="7"/>
  <c r="E39" i="27" s="1"/>
  <c r="Q39" i="27" s="1"/>
  <c r="R39" i="27" s="1"/>
  <c r="E37" i="9"/>
  <c r="Q37" i="9" s="1"/>
  <c r="R37" i="9" s="1"/>
  <c r="W39" i="7"/>
  <c r="E37" i="25" s="1"/>
  <c r="Q37" i="25" s="1"/>
  <c r="R37" i="25" s="1"/>
  <c r="E39" i="9"/>
  <c r="Q39" i="9" s="1"/>
  <c r="R39" i="9" s="1"/>
  <c r="E39" i="25"/>
  <c r="Q39" i="25" s="1"/>
  <c r="R39" i="25" s="1"/>
  <c r="Y21" i="7"/>
  <c r="E19" i="27" s="1"/>
  <c r="AK15" i="7"/>
  <c r="AE22" i="7"/>
  <c r="S17" i="7" s="1"/>
  <c r="Y17" i="7" s="1"/>
  <c r="AI16" i="7"/>
  <c r="AK16" i="7"/>
  <c r="Y20" i="7"/>
  <c r="E18" i="27" s="1"/>
  <c r="Q18" i="27" s="1"/>
  <c r="R18" i="27" s="1"/>
  <c r="Y13" i="7"/>
  <c r="E11" i="27" s="1"/>
  <c r="E9" i="28"/>
  <c r="E16" i="27"/>
  <c r="Y19" i="7"/>
  <c r="E17" i="27" s="1"/>
  <c r="F12" i="24"/>
  <c r="AO12" i="7"/>
  <c r="E14" i="28" s="1"/>
  <c r="Q14" i="28" s="1"/>
  <c r="R14" i="28" s="1"/>
  <c r="AO16" i="7"/>
  <c r="E18" i="28" s="1"/>
  <c r="Q18" i="28" s="1"/>
  <c r="R18" i="28" s="1"/>
  <c r="AO20" i="7"/>
  <c r="E22" i="28" s="1"/>
  <c r="AR15" i="7"/>
  <c r="E9" i="9"/>
  <c r="Q9" i="9" s="1"/>
  <c r="R9" i="9" s="1"/>
  <c r="AO25" i="7"/>
  <c r="E27" i="28" s="1"/>
  <c r="Q27" i="28" s="1"/>
  <c r="R27" i="28" s="1"/>
  <c r="AO26" i="7"/>
  <c r="E28" i="28" s="1"/>
  <c r="Q28" i="28" s="1"/>
  <c r="R28" i="28" s="1"/>
  <c r="F15" i="24"/>
  <c r="F9" i="28"/>
  <c r="Y75" i="7"/>
  <c r="F14" i="27" s="1"/>
  <c r="Q14" i="27" s="1"/>
  <c r="R14" i="27" s="1"/>
  <c r="F19" i="28"/>
  <c r="F22" i="28"/>
  <c r="AI71" i="7"/>
  <c r="Y72" i="7"/>
  <c r="F11" i="27" s="1"/>
  <c r="AK71" i="7"/>
  <c r="AI75" i="7"/>
  <c r="AR74" i="7"/>
  <c r="Y90" i="7"/>
  <c r="F29" i="27" s="1"/>
  <c r="Q29" i="27" s="1"/>
  <c r="R29" i="27" s="1"/>
  <c r="AK75" i="7"/>
  <c r="AI76" i="7"/>
  <c r="AI79" i="7"/>
  <c r="Y78" i="7"/>
  <c r="F17" i="27" s="1"/>
  <c r="AK79" i="7"/>
  <c r="Y99" i="7"/>
  <c r="F38" i="27" s="1"/>
  <c r="Q38" i="27" s="1"/>
  <c r="R38" i="27" s="1"/>
  <c r="AK73" i="7"/>
  <c r="E9" i="27"/>
  <c r="Q9" i="27" s="1"/>
  <c r="R9" i="27" s="1"/>
  <c r="AK13" i="7"/>
  <c r="AO11" i="7"/>
  <c r="E13" i="28" s="1"/>
  <c r="Q13" i="28" s="1"/>
  <c r="R13" i="28" s="1"/>
  <c r="AO14" i="7"/>
  <c r="E16" i="28" s="1"/>
  <c r="E16" i="9"/>
  <c r="Q16" i="9" s="1"/>
  <c r="R16" i="9" s="1"/>
  <c r="E33" i="9"/>
  <c r="Q33" i="9" s="1"/>
  <c r="R33" i="9" s="1"/>
  <c r="AR13" i="7"/>
  <c r="AO15" i="7"/>
  <c r="E17" i="28" s="1"/>
  <c r="Q17" i="28" s="1"/>
  <c r="R17" i="28" s="1"/>
  <c r="AO27" i="7"/>
  <c r="E29" i="28" s="1"/>
  <c r="Q29" i="28" s="1"/>
  <c r="R29" i="28" s="1"/>
  <c r="AO29" i="7"/>
  <c r="E31" i="28" s="1"/>
  <c r="Q31" i="28" s="1"/>
  <c r="R31" i="28" s="1"/>
  <c r="AI11" i="7"/>
  <c r="AI19" i="7"/>
  <c r="AO31" i="7"/>
  <c r="E33" i="28" s="1"/>
  <c r="Q33" i="28" s="1"/>
  <c r="R33" i="28" s="1"/>
  <c r="AK19" i="7"/>
  <c r="E23" i="9"/>
  <c r="Q23" i="9" s="1"/>
  <c r="R23" i="9" s="1"/>
  <c r="E10" i="9"/>
  <c r="Q10" i="9" s="1"/>
  <c r="R10" i="9" s="1"/>
  <c r="AO21" i="7"/>
  <c r="E23" i="28" s="1"/>
  <c r="Q23" i="28" s="1"/>
  <c r="R23" i="28" s="1"/>
  <c r="AO8" i="7"/>
  <c r="E10" i="28" s="1"/>
  <c r="Q10" i="28" s="1"/>
  <c r="R10" i="28" s="1"/>
  <c r="AO35" i="7"/>
  <c r="E37" i="28" s="1"/>
  <c r="Q37" i="28" s="1"/>
  <c r="R37" i="28" s="1"/>
  <c r="AI32" i="7"/>
  <c r="AI35" i="7"/>
  <c r="AI15" i="7"/>
  <c r="AK32" i="7"/>
  <c r="AK35" i="7"/>
  <c r="Y14" i="7"/>
  <c r="E12" i="27" s="1"/>
  <c r="AK45" i="7"/>
  <c r="Q11" i="27" l="1"/>
  <c r="R11" i="27" s="1"/>
  <c r="F15" i="9"/>
  <c r="Q12" i="24"/>
  <c r="R12" i="24" s="1"/>
  <c r="Q22" i="28"/>
  <c r="R22" i="28" s="1"/>
  <c r="Q17" i="27"/>
  <c r="R17" i="27" s="1"/>
  <c r="Q9" i="28"/>
  <c r="R9" i="28" s="1"/>
  <c r="AI36" i="7"/>
  <c r="Q22" i="7"/>
  <c r="W17" i="7"/>
  <c r="E15" i="25" s="1"/>
  <c r="AR36" i="7"/>
  <c r="AK22" i="7"/>
  <c r="AI22" i="7"/>
  <c r="F12" i="25"/>
  <c r="W76" i="7"/>
  <c r="F15" i="25" s="1"/>
  <c r="E12" i="9"/>
  <c r="W14" i="7"/>
  <c r="E12" i="25" s="1"/>
  <c r="E15" i="27"/>
  <c r="E15" i="24"/>
  <c r="Q15" i="24" s="1"/>
  <c r="R15" i="24" s="1"/>
  <c r="Y76" i="7"/>
  <c r="F15" i="27" s="1"/>
  <c r="F12" i="27"/>
  <c r="Q12" i="27" s="1"/>
  <c r="R12" i="27" s="1"/>
  <c r="AI45" i="7"/>
  <c r="AR22" i="7"/>
  <c r="AO10" i="7"/>
  <c r="E12" i="28" s="1"/>
  <c r="F12" i="28"/>
  <c r="F12" i="9"/>
  <c r="F15" i="28"/>
  <c r="E39" i="28"/>
  <c r="Q39" i="28" s="1"/>
  <c r="R39" i="28" s="1"/>
  <c r="E15" i="9"/>
  <c r="Q15" i="9" s="1"/>
  <c r="R15" i="9" s="1"/>
  <c r="AO13" i="7"/>
  <c r="E15" i="28" s="1"/>
  <c r="Q15" i="28" l="1"/>
  <c r="R15" i="28" s="1"/>
  <c r="Q12" i="25"/>
  <c r="R12" i="25" s="1"/>
  <c r="Q12" i="9"/>
  <c r="R12" i="9" s="1"/>
  <c r="Q15" i="27"/>
  <c r="R15" i="27" s="1"/>
  <c r="Q15" i="25"/>
  <c r="R15" i="25" s="1"/>
  <c r="Q12" i="28"/>
  <c r="R12" i="28" s="1"/>
  <c r="W22" i="7"/>
  <c r="E20" i="9"/>
  <c r="Q20" i="9" s="1"/>
  <c r="R20" i="9" s="1"/>
  <c r="AO18" i="7"/>
  <c r="E20" i="28" l="1"/>
  <c r="Q20" i="28" s="1"/>
  <c r="R20" i="28" s="1"/>
  <c r="E20" i="25"/>
  <c r="Q20" i="25" s="1"/>
  <c r="R20" i="25" s="1"/>
  <c r="O42" i="24"/>
  <c r="O40" i="24"/>
  <c r="O41" i="24"/>
  <c r="M42" i="26"/>
  <c r="F40" i="26"/>
  <c r="F41" i="26"/>
  <c r="F42" i="26"/>
  <c r="F43" i="26"/>
  <c r="E43" i="26"/>
  <c r="I42" i="24" l="1"/>
  <c r="I41" i="24"/>
  <c r="I40" i="24"/>
  <c r="M43" i="26"/>
  <c r="O43" i="24" l="1"/>
  <c r="K42" i="27"/>
  <c r="Q42" i="27" s="1"/>
  <c r="R42" i="27" s="1"/>
  <c r="K41" i="27"/>
  <c r="Q41" i="27" s="1"/>
  <c r="R41" i="27" s="1"/>
  <c r="M42" i="24" l="1"/>
  <c r="M41" i="24"/>
  <c r="M43" i="24" l="1"/>
  <c r="I42" i="26" l="1"/>
  <c r="I41" i="26"/>
  <c r="I43" i="26"/>
  <c r="Q43" i="26" s="1"/>
  <c r="R43" i="26" s="1"/>
  <c r="I40" i="26"/>
  <c r="F42" i="24" l="1"/>
  <c r="Q42" i="24" s="1"/>
  <c r="R42" i="24" s="1"/>
  <c r="F41" i="24" l="1"/>
  <c r="F40" i="24"/>
  <c r="Q40" i="24" s="1"/>
  <c r="R40" i="24" s="1"/>
  <c r="G43" i="24"/>
  <c r="E43" i="24"/>
  <c r="I43" i="24"/>
  <c r="Q43" i="24" l="1"/>
  <c r="R43" i="24" s="1"/>
  <c r="K43" i="27"/>
  <c r="Q43" i="27" s="1"/>
  <c r="R43" i="27" s="1"/>
  <c r="E41" i="26" l="1"/>
  <c r="Q41" i="26" s="1"/>
  <c r="R41" i="26" s="1"/>
  <c r="E40" i="26"/>
  <c r="Q40" i="26" s="1"/>
  <c r="R40" i="26" s="1"/>
  <c r="E42" i="26" l="1"/>
  <c r="Q42" i="26" s="1"/>
  <c r="R42" i="26" s="1"/>
  <c r="E41" i="24" l="1"/>
  <c r="Q41" i="24" s="1"/>
  <c r="R41" i="24" s="1"/>
  <c r="H19" i="24" l="1"/>
  <c r="Q19" i="24" s="1"/>
  <c r="R19" i="24" s="1"/>
  <c r="W199" i="7"/>
  <c r="H19" i="25" s="1"/>
  <c r="Q19" i="25" s="1"/>
  <c r="R19" i="25" s="1"/>
  <c r="AO199" i="7" l="1"/>
  <c r="H19" i="28" s="1"/>
  <c r="Q19" i="28" s="1"/>
  <c r="R19" i="28" s="1"/>
  <c r="Y199" i="7"/>
  <c r="H19" i="27" s="1"/>
  <c r="Q19" i="27" s="1"/>
  <c r="R19" i="27" s="1"/>
  <c r="AO465" i="7" l="1"/>
  <c r="M16" i="28" s="1"/>
  <c r="Q16" i="28" s="1"/>
  <c r="R16" i="28" s="1"/>
  <c r="W465" i="7"/>
  <c r="M16" i="25" s="1"/>
  <c r="Q16" i="25" s="1"/>
  <c r="R16" i="25" s="1"/>
  <c r="M16" i="24"/>
  <c r="Q16" i="24" s="1"/>
  <c r="R16" i="24" s="1"/>
  <c r="Y465" i="7"/>
  <c r="M16" i="27" s="1"/>
  <c r="Q16" i="27" s="1"/>
  <c r="R16" i="27" s="1"/>
  <c r="AI480" i="7"/>
  <c r="AK480" i="7" l="1"/>
  <c r="AR480" i="7"/>
  <c r="O813" i="29" l="1"/>
  <c r="O814" i="29" s="1"/>
  <c r="P813" i="29"/>
  <c r="P814" i="29" s="1"/>
  <c r="O872" i="29"/>
  <c r="O873" i="29" s="1"/>
  <c r="P872" i="29"/>
  <c r="P873" i="29" s="1"/>
  <c r="N813" i="29"/>
  <c r="N814" i="29" s="1"/>
  <c r="N872" i="29"/>
  <c r="N873" i="29" s="1"/>
  <c r="M813" i="29"/>
  <c r="M814" i="29" s="1"/>
  <c r="M872" i="29"/>
  <c r="M873" i="29" s="1"/>
  <c r="L813" i="29"/>
  <c r="L814" i="29" s="1"/>
  <c r="L872" i="29"/>
  <c r="L873" i="29" s="1"/>
  <c r="K813" i="29"/>
  <c r="K814" i="29" s="1"/>
  <c r="K872" i="29"/>
  <c r="K873" i="29" s="1"/>
  <c r="J813" i="29"/>
  <c r="J814" i="29" s="1"/>
  <c r="J872" i="29"/>
  <c r="J873" i="29" s="1"/>
  <c r="I813" i="29"/>
  <c r="I814" i="29" s="1"/>
  <c r="H813" i="29"/>
  <c r="H814" i="29" s="1"/>
  <c r="I872" i="29"/>
  <c r="I873" i="29" s="1"/>
  <c r="I714" i="29"/>
  <c r="I716" i="29" s="1"/>
  <c r="F872" i="29"/>
  <c r="F873" i="29" s="1"/>
  <c r="P718" i="29"/>
  <c r="M718" i="29"/>
  <c r="M899" i="29" s="1"/>
  <c r="M900" i="29" s="1"/>
  <c r="H718" i="29"/>
  <c r="H840" i="29" s="1"/>
  <c r="H841" i="29" s="1"/>
  <c r="M714" i="29"/>
  <c r="M716" i="29" s="1"/>
  <c r="L718" i="29"/>
  <c r="G872" i="29"/>
  <c r="G873" i="29" s="1"/>
  <c r="J718" i="29"/>
  <c r="F718" i="29"/>
  <c r="F720" i="29" s="1"/>
  <c r="L714" i="29"/>
  <c r="L890" i="29" s="1"/>
  <c r="L891" i="29" s="1"/>
  <c r="H872" i="29"/>
  <c r="H873" i="29" s="1"/>
  <c r="N714" i="29"/>
  <c r="I718" i="29"/>
  <c r="J714" i="29"/>
  <c r="J716" i="29" s="1"/>
  <c r="K718" i="29"/>
  <c r="K840" i="29" s="1"/>
  <c r="K841" i="29" s="1"/>
  <c r="P714" i="29"/>
  <c r="G718" i="29"/>
  <c r="G720" i="29" s="1"/>
  <c r="G714" i="29"/>
  <c r="G716" i="29" s="1"/>
  <c r="E720" i="29"/>
  <c r="E716" i="29"/>
  <c r="O718" i="29"/>
  <c r="H714" i="29"/>
  <c r="G813" i="29"/>
  <c r="G814" i="29" s="1"/>
  <c r="F714" i="29"/>
  <c r="O714" i="29"/>
  <c r="K714" i="29"/>
  <c r="N718" i="29"/>
  <c r="E814" i="29"/>
  <c r="E873" i="29"/>
  <c r="F813" i="29"/>
  <c r="F814" i="29" s="1"/>
  <c r="I890" i="29" l="1"/>
  <c r="I891" i="29" s="1"/>
  <c r="L840" i="29"/>
  <c r="L841" i="29" s="1"/>
  <c r="L720" i="29"/>
  <c r="G831" i="29"/>
  <c r="G832" i="29" s="1"/>
  <c r="G899" i="29"/>
  <c r="G900" i="29" s="1"/>
  <c r="J831" i="29"/>
  <c r="J832" i="29" s="1"/>
  <c r="P890" i="29"/>
  <c r="P891" i="29" s="1"/>
  <c r="P716" i="29"/>
  <c r="H899" i="29"/>
  <c r="H900" i="29" s="1"/>
  <c r="H720" i="29"/>
  <c r="H890" i="29"/>
  <c r="H891" i="29" s="1"/>
  <c r="H716" i="29"/>
  <c r="K899" i="29"/>
  <c r="K900" i="29" s="1"/>
  <c r="K720" i="29"/>
  <c r="M840" i="29"/>
  <c r="M841" i="29" s="1"/>
  <c r="M720" i="29"/>
  <c r="O840" i="29"/>
  <c r="O841" i="29" s="1"/>
  <c r="O720" i="29"/>
  <c r="P899" i="29"/>
  <c r="P900" i="29" s="1"/>
  <c r="P720" i="29"/>
  <c r="F831" i="29"/>
  <c r="F832" i="29" s="1"/>
  <c r="F716" i="29"/>
  <c r="E891" i="29"/>
  <c r="N831" i="29"/>
  <c r="N832" i="29" s="1"/>
  <c r="N716" i="29"/>
  <c r="K890" i="29"/>
  <c r="K891" i="29" s="1"/>
  <c r="K716" i="29"/>
  <c r="I840" i="29"/>
  <c r="I841" i="29" s="1"/>
  <c r="I720" i="29"/>
  <c r="E832" i="29"/>
  <c r="L831" i="29"/>
  <c r="L832" i="29" s="1"/>
  <c r="L716" i="29"/>
  <c r="G840" i="29"/>
  <c r="G841" i="29" s="1"/>
  <c r="J890" i="29"/>
  <c r="J891" i="29" s="1"/>
  <c r="O890" i="29"/>
  <c r="O891" i="29" s="1"/>
  <c r="O716" i="29"/>
  <c r="E840" i="29"/>
  <c r="E841" i="29" s="1"/>
  <c r="I831" i="29"/>
  <c r="I832" i="29" s="1"/>
  <c r="N840" i="29"/>
  <c r="N841" i="29" s="1"/>
  <c r="N720" i="29"/>
  <c r="E900" i="29"/>
  <c r="J840" i="29"/>
  <c r="J841" i="29" s="1"/>
  <c r="J720" i="29"/>
  <c r="G890" i="29"/>
  <c r="G891" i="29" s="1"/>
  <c r="F899" i="29"/>
  <c r="F900" i="29" s="1"/>
  <c r="M890" i="29"/>
  <c r="M891" i="29" s="1"/>
  <c r="F840" i="29"/>
  <c r="F841" i="29" s="1"/>
  <c r="K831" i="29"/>
  <c r="K832" i="29" s="1"/>
  <c r="O831" i="29"/>
  <c r="O832" i="29" s="1"/>
  <c r="N890" i="29"/>
  <c r="N891" i="29" s="1"/>
  <c r="H831" i="29"/>
  <c r="H832" i="29" s="1"/>
  <c r="I899" i="29"/>
  <c r="I900" i="29" s="1"/>
  <c r="M831" i="29"/>
  <c r="M832" i="29" s="1"/>
  <c r="P831" i="29"/>
  <c r="P832" i="29" s="1"/>
  <c r="P840" i="29"/>
  <c r="P841" i="29" s="1"/>
  <c r="J899" i="29"/>
  <c r="J900" i="29" s="1"/>
  <c r="L899" i="29"/>
  <c r="L900" i="29" s="1"/>
  <c r="N899" i="29"/>
  <c r="N900" i="29" s="1"/>
  <c r="O899" i="29"/>
  <c r="O900" i="29" s="1"/>
  <c r="F890" i="29"/>
  <c r="F891" i="29" s="1"/>
</calcChain>
</file>

<file path=xl/sharedStrings.xml><?xml version="1.0" encoding="utf-8"?>
<sst xmlns="http://schemas.openxmlformats.org/spreadsheetml/2006/main" count="9703" uniqueCount="1029">
  <si>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</si>
  <si>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</si>
  <si>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</si>
  <si>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</si>
  <si>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</si>
  <si>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</si>
  <si>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</si>
  <si>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</si>
  <si>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</si>
  <si>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</si>
  <si>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</si>
  <si>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</si>
  <si>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Норма по СанПин</t>
  </si>
  <si>
    <t>День</t>
  </si>
  <si>
    <t>349/11</t>
  </si>
  <si>
    <t>223 /11</t>
  </si>
  <si>
    <t>Чай с сахаром</t>
  </si>
  <si>
    <t>265/11</t>
  </si>
  <si>
    <t>382/11</t>
  </si>
  <si>
    <t xml:space="preserve">Какао с молоком </t>
  </si>
  <si>
    <t>294/11</t>
  </si>
  <si>
    <t>Литература: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</si>
  <si>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</si>
  <si>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</si>
  <si>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</si>
  <si>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</si>
  <si>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</si>
  <si>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</si>
  <si>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</si>
  <si>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</si>
  <si>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</si>
  <si>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</si>
  <si>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</si>
  <si>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</si>
  <si>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</si>
  <si>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</si>
  <si>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</si>
  <si>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</si>
  <si>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</si>
  <si>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</si>
  <si>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</si>
  <si>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</si>
  <si>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</si>
  <si>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</si>
  <si>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</si>
  <si>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</si>
  <si>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</si>
  <si>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</si>
  <si>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</si>
  <si>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</si>
  <si>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</si>
  <si>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</si>
  <si>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</si>
  <si>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</si>
  <si>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</si>
  <si>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</si>
  <si>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</si>
  <si>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</si>
  <si>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</si>
  <si>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</si>
  <si>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</si>
  <si>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</si>
  <si>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</si>
  <si>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</si>
  <si>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</si>
  <si>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</si>
  <si>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</si>
  <si>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ОВОЩИ</t>
  </si>
  <si>
    <t xml:space="preserve">молоко </t>
  </si>
  <si>
    <t xml:space="preserve">                     норма закладки продуктов в гр на 1 порцию</t>
  </si>
  <si>
    <t>репа бакл</t>
  </si>
  <si>
    <t>1-п/г.</t>
  </si>
  <si>
    <t>кабачек</t>
  </si>
  <si>
    <t xml:space="preserve">творог </t>
  </si>
  <si>
    <t>тыква</t>
  </si>
  <si>
    <t>печень</t>
  </si>
  <si>
    <t xml:space="preserve">макароны </t>
  </si>
  <si>
    <t>томат</t>
  </si>
  <si>
    <t xml:space="preserve">сметана </t>
  </si>
  <si>
    <t>морковь</t>
  </si>
  <si>
    <t>м/слив</t>
  </si>
  <si>
    <t>горох</t>
  </si>
  <si>
    <t>фрукты</t>
  </si>
  <si>
    <t>манка</t>
  </si>
  <si>
    <t>овсянка</t>
  </si>
  <si>
    <t>перловка</t>
  </si>
  <si>
    <t>свекла</t>
  </si>
  <si>
    <t>пшено</t>
  </si>
  <si>
    <t>пшеничка</t>
  </si>
  <si>
    <t xml:space="preserve">дрожжи </t>
  </si>
  <si>
    <t>рис</t>
  </si>
  <si>
    <t>хлеб пш.</t>
  </si>
  <si>
    <t>мука пш.</t>
  </si>
  <si>
    <t>молоко</t>
  </si>
  <si>
    <t>вода</t>
  </si>
  <si>
    <t>м/сливочное</t>
  </si>
  <si>
    <t>итого овощ</t>
  </si>
  <si>
    <t xml:space="preserve">соль </t>
  </si>
  <si>
    <t>л/лист</t>
  </si>
  <si>
    <t>говядина</t>
  </si>
  <si>
    <t>смесь сух-в</t>
  </si>
  <si>
    <t>лук репчатый</t>
  </si>
  <si>
    <t>сахар песок</t>
  </si>
  <si>
    <t>м/растительное</t>
  </si>
  <si>
    <t>чай с сахаром</t>
  </si>
  <si>
    <t>223/11</t>
  </si>
  <si>
    <t>творог</t>
  </si>
  <si>
    <t xml:space="preserve">чай </t>
  </si>
  <si>
    <t>сметана</t>
  </si>
  <si>
    <t xml:space="preserve">морковь       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</si>
  <si>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</si>
  <si>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</si>
  <si>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</si>
  <si>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</si>
  <si>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</si>
  <si>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</si>
  <si>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</si>
  <si>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>капуста б/кач</t>
  </si>
  <si>
    <t>сырьё</t>
  </si>
  <si>
    <t xml:space="preserve">брутто </t>
  </si>
  <si>
    <t>нетто</t>
  </si>
  <si>
    <t>филе</t>
  </si>
  <si>
    <t>сухофрукты</t>
  </si>
  <si>
    <t>макароны</t>
  </si>
  <si>
    <t>м /сливочное</t>
  </si>
  <si>
    <t xml:space="preserve">из птицы </t>
  </si>
  <si>
    <t>Кофейный напиток</t>
  </si>
  <si>
    <t>379/11</t>
  </si>
  <si>
    <t>картофельное пюре /</t>
  </si>
  <si>
    <t>по</t>
  </si>
  <si>
    <t>лук репч.</t>
  </si>
  <si>
    <t>82/11</t>
  </si>
  <si>
    <t>88/11</t>
  </si>
  <si>
    <t>клёцки</t>
  </si>
  <si>
    <t>Суп картоф. с горохом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</si>
  <si>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</si>
  <si>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</si>
  <si>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</si>
  <si>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</si>
  <si>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</si>
  <si>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</si>
  <si>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</si>
  <si>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</si>
  <si>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</si>
  <si>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</si>
  <si>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</si>
  <si>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1-й день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</si>
  <si>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</si>
  <si>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</si>
  <si>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</si>
  <si>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</si>
  <si>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</si>
  <si>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О Б Е Д </t>
  </si>
  <si>
    <t>Суп картофель. с горохом</t>
  </si>
  <si>
    <t>Какао с молоком</t>
  </si>
  <si>
    <t>капуста свеж.</t>
  </si>
  <si>
    <t xml:space="preserve">огурец солёный </t>
  </si>
  <si>
    <t>огурец свежий</t>
  </si>
  <si>
    <t>капуста квашен.</t>
  </si>
  <si>
    <t>горошек конс. зелён.</t>
  </si>
  <si>
    <t>помидор св.</t>
  </si>
  <si>
    <t>зелень св.</t>
  </si>
  <si>
    <t>яйцо в гр.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</si>
  <si>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</si>
  <si>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</si>
  <si>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</si>
  <si>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</si>
  <si>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</si>
  <si>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</si>
  <si>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</si>
  <si>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кисломолочка</t>
  </si>
  <si>
    <t>кондитерка</t>
  </si>
  <si>
    <t>капуста св.</t>
  </si>
  <si>
    <t>2 - я   неделя</t>
  </si>
  <si>
    <t>1 - я   неделя</t>
  </si>
  <si>
    <t>яйца шт./ гр.</t>
  </si>
  <si>
    <t>крахмал</t>
  </si>
  <si>
    <t>Среднее за 10 дней (фактически)</t>
  </si>
  <si>
    <t>сыр костромской</t>
  </si>
  <si>
    <t>Шницель рыбный</t>
  </si>
  <si>
    <t xml:space="preserve">СОУС: </t>
  </si>
  <si>
    <t xml:space="preserve"> мука пш.</t>
  </si>
  <si>
    <t>235/11</t>
  </si>
  <si>
    <t xml:space="preserve"> зелень</t>
  </si>
  <si>
    <t>О С Е Н Ь</t>
  </si>
  <si>
    <t>Суп с макаронами</t>
  </si>
  <si>
    <t>259/11</t>
  </si>
  <si>
    <t>Жаркое по - дормашнему</t>
  </si>
  <si>
    <t>свинина</t>
  </si>
  <si>
    <t>помидор</t>
  </si>
  <si>
    <t xml:space="preserve">    Суп из овощей </t>
  </si>
  <si>
    <t xml:space="preserve">Суп из овощей </t>
  </si>
  <si>
    <t>кабачёк</t>
  </si>
  <si>
    <t>помидоры св.</t>
  </si>
  <si>
    <t>Суп  с клёцками</t>
  </si>
  <si>
    <t>182/11</t>
  </si>
  <si>
    <t xml:space="preserve"> "УТВЕРЖДАЮ"</t>
  </si>
  <si>
    <t xml:space="preserve">   Директор ООО  "Торговый дом Кубань"</t>
  </si>
  <si>
    <t>мука на подпыл</t>
  </si>
  <si>
    <t>З А В Т Р А К</t>
  </si>
  <si>
    <t>бедро кур на кости</t>
  </si>
  <si>
    <t>143/11</t>
  </si>
  <si>
    <t xml:space="preserve">капуста         </t>
  </si>
  <si>
    <t>269/11</t>
  </si>
  <si>
    <t xml:space="preserve">    плов с говядиной</t>
  </si>
  <si>
    <t xml:space="preserve">картофельное пюре </t>
  </si>
  <si>
    <t>268/11</t>
  </si>
  <si>
    <t xml:space="preserve">    Суп   с клёцками</t>
  </si>
  <si>
    <t>ячневая</t>
  </si>
  <si>
    <t>перец сладкий</t>
  </si>
  <si>
    <t>234/11</t>
  </si>
  <si>
    <t>239/11</t>
  </si>
  <si>
    <t>Суп с лапшой</t>
  </si>
  <si>
    <t>139/11</t>
  </si>
  <si>
    <t>233/11</t>
  </si>
  <si>
    <t>молочным соусом</t>
  </si>
  <si>
    <t>Рыба запечённая под молочным соусом</t>
  </si>
  <si>
    <t>запеканка из творога с</t>
  </si>
  <si>
    <t>Тефтели рыбные (минтай)</t>
  </si>
  <si>
    <t>Компот из смеси сухофруктов</t>
  </si>
  <si>
    <t>Котлета рублен. из птицы</t>
  </si>
  <si>
    <t>лук репчат.</t>
  </si>
  <si>
    <t>лавр./лист</t>
  </si>
  <si>
    <t>Борщ с картофелем</t>
  </si>
  <si>
    <t>и свежей капустой</t>
  </si>
  <si>
    <t>яйца шт./гр.</t>
  </si>
  <si>
    <t>мука пшен.</t>
  </si>
  <si>
    <t>лавр. / лист</t>
  </si>
  <si>
    <t>нарезка</t>
  </si>
  <si>
    <t>итого Специи</t>
  </si>
  <si>
    <t xml:space="preserve">Компот из смеси </t>
  </si>
  <si>
    <t xml:space="preserve">Суп с макаронами </t>
  </si>
  <si>
    <t xml:space="preserve">лук репчат.      </t>
  </si>
  <si>
    <t>бедро куриное</t>
  </si>
  <si>
    <t>Крупа манная</t>
  </si>
  <si>
    <t>горошек зелёный</t>
  </si>
  <si>
    <t xml:space="preserve">лук репчат.        </t>
  </si>
  <si>
    <t>молоком сгущённым</t>
  </si>
  <si>
    <t xml:space="preserve">филе бедро кур </t>
  </si>
  <si>
    <t xml:space="preserve">картофель    </t>
  </si>
  <si>
    <t>с овощами</t>
  </si>
  <si>
    <t>яйцо шт. / гр.</t>
  </si>
  <si>
    <t>Котлета мясная</t>
  </si>
  <si>
    <t>рагу из овощей</t>
  </si>
  <si>
    <t>филе бедро птиц</t>
  </si>
  <si>
    <t>Рагу из  овощей</t>
  </si>
  <si>
    <t>А.Л.Жваков</t>
  </si>
  <si>
    <t xml:space="preserve">                             ДЛЯ  УЧАЩИХСЯ    В   ОБЩЕОБРАЗОВАТЕЛЬНОМ   УЧРЕЖДЕНИЕ</t>
  </si>
  <si>
    <t>меню разработано согласно</t>
  </si>
  <si>
    <t>2022 г.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</si>
  <si>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</si>
  <si>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</si>
  <si>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</si>
  <si>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</si>
  <si>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</si>
  <si>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</si>
  <si>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</si>
  <si>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</si>
  <si>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</si>
  <si>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</si>
  <si>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</si>
  <si>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</si>
  <si>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</si>
  <si>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</si>
  <si>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</si>
  <si>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</si>
  <si>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</si>
  <si>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</si>
  <si>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</si>
  <si>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</si>
  <si>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2 -й</t>
  </si>
  <si>
    <t>3 -й</t>
  </si>
  <si>
    <t>4 -й</t>
  </si>
  <si>
    <t>5 -й</t>
  </si>
  <si>
    <t>6 -й</t>
  </si>
  <si>
    <t>7 -й</t>
  </si>
  <si>
    <t>8 -й</t>
  </si>
  <si>
    <t>Суп с клёцками</t>
  </si>
  <si>
    <t>Отклонение от</t>
  </si>
  <si>
    <t>в %</t>
  </si>
  <si>
    <t>( + / - )</t>
  </si>
  <si>
    <t xml:space="preserve">энерг-я </t>
  </si>
  <si>
    <t xml:space="preserve">                            ДЛЯ  УЧАЩИХСЯ  В ОБЩЕОБРАЗОВАТЕЛЬНОМ УЧРЕЖДЕНИЕ</t>
  </si>
  <si>
    <t>итого за завтрак</t>
  </si>
  <si>
    <t>Борщ с картофелем со свежей капусты</t>
  </si>
  <si>
    <t>З А В Т Р А К И   И  О Б Е Д Ы</t>
  </si>
  <si>
    <t xml:space="preserve">Россия Краснодарский край </t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</si>
  <si>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</si>
  <si>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</si>
  <si>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</si>
  <si>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</si>
  <si>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</si>
  <si>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</si>
  <si>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</si>
  <si>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</si>
  <si>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</si>
  <si>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кисломолоч.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</si>
  <si>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</si>
  <si>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</si>
  <si>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</si>
  <si>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</si>
  <si>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</si>
  <si>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 xml:space="preserve">     г,  на одного человека</t>
  </si>
  <si>
    <t>среднем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</si>
  <si>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</si>
  <si>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</si>
  <si>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</si>
  <si>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</si>
  <si>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</si>
  <si>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 xml:space="preserve">масло порциями </t>
  </si>
  <si>
    <t xml:space="preserve">Масло порциями </t>
  </si>
  <si>
    <t>бедро птицы</t>
  </si>
  <si>
    <t>яблоки св.</t>
  </si>
  <si>
    <t>сок яблочный</t>
  </si>
  <si>
    <t xml:space="preserve">Картофель </t>
  </si>
  <si>
    <t>крупа пшеничка</t>
  </si>
  <si>
    <t>2022 -___г.г.</t>
  </si>
  <si>
    <t>О С Е Н Ь    2022 - ___ г.г.</t>
  </si>
  <si>
    <t xml:space="preserve"> сухофруктов</t>
  </si>
  <si>
    <t xml:space="preserve">   1 - я неделя</t>
  </si>
  <si>
    <t xml:space="preserve">                                            Россия   Краснодарский край </t>
  </si>
  <si>
    <t>142-131/11</t>
  </si>
  <si>
    <t>14/11</t>
  </si>
  <si>
    <t>128/11</t>
  </si>
  <si>
    <t>П О Л Д Н И К</t>
  </si>
  <si>
    <t>386/11</t>
  </si>
  <si>
    <t>Кефир  (м. д. ж. 2,5% )</t>
  </si>
  <si>
    <t>огурец св.</t>
  </si>
  <si>
    <t>яблоко</t>
  </si>
  <si>
    <t>205/11</t>
  </si>
  <si>
    <t xml:space="preserve">макароны отварные </t>
  </si>
  <si>
    <t>кефир</t>
  </si>
  <si>
    <t>Кефир</t>
  </si>
  <si>
    <t>303/11</t>
  </si>
  <si>
    <t>каша вязкая ( ячневая )</t>
  </si>
  <si>
    <t>47/11</t>
  </si>
  <si>
    <t>Квашеная капуста</t>
  </si>
  <si>
    <t xml:space="preserve">каша  вязкая ячневая </t>
  </si>
  <si>
    <t>Фрукты  свежие (яблоко )</t>
  </si>
  <si>
    <t>Кофейный напиток с молоком</t>
  </si>
  <si>
    <t>с молоком</t>
  </si>
  <si>
    <t xml:space="preserve">Кофейный напиток </t>
  </si>
  <si>
    <t>из манной крупы</t>
  </si>
  <si>
    <t>255/11</t>
  </si>
  <si>
    <t>Печень по- строгановски</t>
  </si>
  <si>
    <t>258/11</t>
  </si>
  <si>
    <t>Мясо духовое</t>
  </si>
  <si>
    <t>лук репч</t>
  </si>
  <si>
    <t>тушёные в соусе</t>
  </si>
  <si>
    <t xml:space="preserve">Картофель и овощи </t>
  </si>
  <si>
    <t xml:space="preserve"> бедро кур</t>
  </si>
  <si>
    <t xml:space="preserve">                             ШКОЛЬНЫХ   З А В Т Р А К О В    -    О Б Е Д  О В    И    П О Л Д Н И К О В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</si>
  <si>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трёхразовый      с               по</t>
    </r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</si>
  <si>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качестве горячих</t>
    </r>
  </si>
  <si>
    <t xml:space="preserve">       З А В Т Р А К О В   -   О Б Е Д О В  -  П О Л Д Н И К О В</t>
  </si>
  <si>
    <t>Макароны отварные с овощами</t>
  </si>
  <si>
    <t>205 /11</t>
  </si>
  <si>
    <t>итого за полдник</t>
  </si>
  <si>
    <t>ВСЕГО: за  завтрак  -   обед - полдник</t>
  </si>
  <si>
    <t xml:space="preserve">                                                  З А В Т Р А К О В  -  О Б Е Д О В   - П О Л Д Н И К О В</t>
  </si>
  <si>
    <t>47 /11</t>
  </si>
  <si>
    <t>Суп с  крупой  (пшеничной)</t>
  </si>
  <si>
    <t>303 /11</t>
  </si>
  <si>
    <t>огурец  свежий в нарезке</t>
  </si>
  <si>
    <t xml:space="preserve">   2-я неделя</t>
  </si>
  <si>
    <t>Помидор свежий в нарезке</t>
  </si>
  <si>
    <t xml:space="preserve">Каша жидкая молочная </t>
  </si>
  <si>
    <t>Рассольник ленинградский</t>
  </si>
  <si>
    <t>огурец солён</t>
  </si>
  <si>
    <t>Запеканка овощная</t>
  </si>
  <si>
    <t>165/11</t>
  </si>
  <si>
    <t>256/11</t>
  </si>
  <si>
    <t>мясо тушёное</t>
  </si>
  <si>
    <t>50 / 50</t>
  </si>
  <si>
    <t xml:space="preserve">с овощами </t>
  </si>
  <si>
    <t>Помидор  свежий  в нарезке</t>
  </si>
  <si>
    <t>Мясо тушёное</t>
  </si>
  <si>
    <t>256 /11</t>
  </si>
  <si>
    <t xml:space="preserve">Суп  с макаронами </t>
  </si>
  <si>
    <t>Картофель и овощи тушёные в соусе</t>
  </si>
  <si>
    <t>Каша  жидкая молочная (рисовая)</t>
  </si>
  <si>
    <t>крупа перловая</t>
  </si>
  <si>
    <t>сухарь пан</t>
  </si>
  <si>
    <t>90/20</t>
  </si>
  <si>
    <t>90 / 20</t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</si>
  <si>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П О Л Д Н И К О В  10%   (всего  70 % )</t>
    </r>
  </si>
  <si>
    <t>запеканка из творога и</t>
  </si>
  <si>
    <t>птица</t>
  </si>
  <si>
    <t>бедро</t>
  </si>
  <si>
    <t>говяд</t>
  </si>
  <si>
    <r>
      <t xml:space="preserve"> </t>
    </r>
    <r>
      <rPr>
        <b/>
        <sz val="9"/>
        <rFont val="Arial Cyr"/>
        <charset val="204"/>
      </rPr>
      <t xml:space="preserve"> З А В Т Р А К  О В    25 %    </t>
    </r>
  </si>
  <si>
    <r>
      <t xml:space="preserve"> </t>
    </r>
    <r>
      <rPr>
        <b/>
        <sz val="9"/>
        <rFont val="Arial Cyr"/>
        <charset val="204"/>
      </rPr>
      <t xml:space="preserve">     О  Б Е Д  О В   35 %    </t>
    </r>
  </si>
  <si>
    <r>
      <t xml:space="preserve"> </t>
    </r>
    <r>
      <rPr>
        <b/>
        <sz val="9"/>
        <rFont val="Arial Cyr"/>
        <charset val="204"/>
      </rPr>
      <t xml:space="preserve"> З А В Т Р А К  О В    25 %     О  Б Е Д  О В   35 %    </t>
    </r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</si>
  <si>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двухразовый      с               по</t>
    </r>
  </si>
  <si>
    <t xml:space="preserve">Каша жидкая молочная  </t>
  </si>
  <si>
    <t>Печенье топлёное молоко</t>
  </si>
  <si>
    <t>помидор свежий в нарезку</t>
  </si>
  <si>
    <t>плов с говядиной</t>
  </si>
  <si>
    <t>2- й   день</t>
  </si>
  <si>
    <t>Запеканка из творога с молоком сгущённым</t>
  </si>
  <si>
    <t>Запеканка  из творога с</t>
  </si>
  <si>
    <t>молоко сгущ.</t>
  </si>
  <si>
    <t>сл/ масло</t>
  </si>
  <si>
    <t>масло порциями</t>
  </si>
  <si>
    <t xml:space="preserve"> 4 - й день</t>
  </si>
  <si>
    <t xml:space="preserve">соус в тефтели         </t>
  </si>
  <si>
    <t>огурец свежий в нарезку</t>
  </si>
  <si>
    <t xml:space="preserve"> / 11</t>
  </si>
  <si>
    <t>м/сливоч</t>
  </si>
  <si>
    <t>/ овощи припущенные</t>
  </si>
  <si>
    <t>128-136</t>
  </si>
  <si>
    <t>картофель пюре  /</t>
  </si>
  <si>
    <t xml:space="preserve">  3 - й   день</t>
  </si>
  <si>
    <t>сушён. Яблок</t>
  </si>
  <si>
    <t xml:space="preserve">  5 - й   день</t>
  </si>
  <si>
    <t>Омлет с птицей</t>
  </si>
  <si>
    <t>бананы</t>
  </si>
  <si>
    <t xml:space="preserve"> огурец свежий в нарезку</t>
  </si>
  <si>
    <t>Компот из смеси  сухофруктов</t>
  </si>
  <si>
    <t>огурец свежие в нарезку</t>
  </si>
  <si>
    <t>лимон /кислота</t>
  </si>
  <si>
    <t xml:space="preserve">картофель пюре / Капуста </t>
  </si>
  <si>
    <t>Капуста тушеная</t>
  </si>
  <si>
    <t xml:space="preserve">томат </t>
  </si>
  <si>
    <t>помидор свежие в нарезку</t>
  </si>
  <si>
    <t>лавр. Лист</t>
  </si>
  <si>
    <t>лимон/кислота</t>
  </si>
  <si>
    <t xml:space="preserve">  (рисовая)</t>
  </si>
  <si>
    <t>сыр Костромской</t>
  </si>
  <si>
    <t>какао-порош</t>
  </si>
  <si>
    <t>Жаркое по - домашнему</t>
  </si>
  <si>
    <t>Рыба припущенная</t>
  </si>
  <si>
    <t>в молоке</t>
  </si>
  <si>
    <t>228/11</t>
  </si>
  <si>
    <t>какао-пор</t>
  </si>
  <si>
    <t xml:space="preserve"> Рыба запечённая под</t>
  </si>
  <si>
    <t>сыр костр</t>
  </si>
  <si>
    <t>сухари пан</t>
  </si>
  <si>
    <t>Фрукты  свежие (яблоки )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</si>
  <si>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>одноразовый      с               по</t>
    </r>
  </si>
  <si>
    <t xml:space="preserve">      О  Б Е Д  О В   35 %    И  П О Л Д Н И К О В  10 %</t>
  </si>
  <si>
    <t>режим питания: двухразовый      с               по</t>
  </si>
  <si>
    <t xml:space="preserve">           П О Л Д Н И К О В           10 %    </t>
  </si>
  <si>
    <t>Биточек рисовый</t>
  </si>
  <si>
    <t>с морковью</t>
  </si>
  <si>
    <t>193/11</t>
  </si>
  <si>
    <t>Биточек рисовый с моркрвью</t>
  </si>
  <si>
    <t>крупа рис</t>
  </si>
  <si>
    <t>ванилль</t>
  </si>
  <si>
    <t>ваниль</t>
  </si>
  <si>
    <t>224/11</t>
  </si>
  <si>
    <t>крупа манная</t>
  </si>
  <si>
    <t xml:space="preserve">сухарь панир </t>
  </si>
  <si>
    <t>чай фруктовый</t>
  </si>
  <si>
    <t>яблоко св.</t>
  </si>
  <si>
    <t xml:space="preserve">соус </t>
  </si>
  <si>
    <t>Макароны запечённые с яйцом</t>
  </si>
  <si>
    <t>с яйцом</t>
  </si>
  <si>
    <t>кукуруза конс</t>
  </si>
  <si>
    <t xml:space="preserve">кукуруза конс. </t>
  </si>
  <si>
    <t>Зразы картофельные</t>
  </si>
  <si>
    <t>150/11</t>
  </si>
  <si>
    <t>Картофель</t>
  </si>
  <si>
    <t xml:space="preserve">капуста белокач        </t>
  </si>
  <si>
    <t>Оладьи из печени</t>
  </si>
  <si>
    <t>м/сливочн</t>
  </si>
  <si>
    <t>Макароны запечёные</t>
  </si>
  <si>
    <t>Голубцы ленивые</t>
  </si>
  <si>
    <t xml:space="preserve">морковь </t>
  </si>
  <si>
    <t>сухарь. Пан</t>
  </si>
  <si>
    <t>Котлета  мясная</t>
  </si>
  <si>
    <t>горошек зел</t>
  </si>
  <si>
    <t>П О Л Д Н И К И</t>
  </si>
  <si>
    <t xml:space="preserve"> О Б Е Д Ы  И  П О Л Д Н И К И</t>
  </si>
  <si>
    <t>ЗАВТРАКИ  -  ОБЕДЫ  И  ПОЛДНИКИ</t>
  </si>
  <si>
    <t xml:space="preserve">З А В Т Р А К И   </t>
  </si>
  <si>
    <t>О Б Е Д Ы</t>
  </si>
  <si>
    <t xml:space="preserve">меню завтраки   10-тидневка </t>
  </si>
  <si>
    <t xml:space="preserve">                    1 - я неделя</t>
  </si>
  <si>
    <t>ЕДИНОЕ</t>
  </si>
  <si>
    <t xml:space="preserve">ВСЕГО: за  ОБЕД   И ПОЛДНИК </t>
  </si>
  <si>
    <t>ВСЕГО: за  ЗАВТРАК - ОБЕД</t>
  </si>
  <si>
    <t>отклонение</t>
  </si>
  <si>
    <t xml:space="preserve">  1 -я - 2-я неделя</t>
  </si>
  <si>
    <t xml:space="preserve">                    2 - я неделя</t>
  </si>
  <si>
    <t>Каша жидкая молочная  из манной крупы</t>
  </si>
  <si>
    <t>Биточек рисовый с морковью</t>
  </si>
  <si>
    <t>128-136 /11</t>
  </si>
  <si>
    <t>224 /11</t>
  </si>
  <si>
    <t>Рыба припущенная в молоке (минтай)</t>
  </si>
  <si>
    <t>ТТК</t>
  </si>
  <si>
    <t>Чай фруктовый</t>
  </si>
  <si>
    <t xml:space="preserve">огурец </t>
  </si>
  <si>
    <t>огурец солёный в нарезку</t>
  </si>
  <si>
    <t>233 /11</t>
  </si>
  <si>
    <t>помидор солёный</t>
  </si>
  <si>
    <t>150 /11</t>
  </si>
  <si>
    <t>Суп  с лапшой</t>
  </si>
  <si>
    <t>Котлета рубленая из птицы</t>
  </si>
  <si>
    <t>Щи из свежей. капусты с картофелем</t>
  </si>
  <si>
    <t>2 -я</t>
  </si>
  <si>
    <t>193 /11</t>
  </si>
  <si>
    <t>Запеканка из творога</t>
  </si>
  <si>
    <t>269 /11</t>
  </si>
  <si>
    <t>Биточки  (особые )   мясные</t>
  </si>
  <si>
    <t>Биточки (особые) мясные</t>
  </si>
  <si>
    <t>Шницель рыбный натуральный (минтай)</t>
  </si>
  <si>
    <t>натуральный (минтай)</t>
  </si>
  <si>
    <t>СЫРЬЕ</t>
  </si>
  <si>
    <t xml:space="preserve">                               Возрастная категория:      12   лет  и  старше</t>
  </si>
  <si>
    <t xml:space="preserve">  Возрастная категория:  с   12  лет и старше</t>
  </si>
  <si>
    <t xml:space="preserve">      Возрастная категория:       12 лет  и старше</t>
  </si>
  <si>
    <t>12- 18 л</t>
  </si>
  <si>
    <t>Возрастная категория:   12 лет и старше</t>
  </si>
  <si>
    <t>возрастная категория 12- лет и старше</t>
  </si>
  <si>
    <t>110/10</t>
  </si>
  <si>
    <t>110/70</t>
  </si>
  <si>
    <t>тушёные в с оусе</t>
  </si>
  <si>
    <t>молоком</t>
  </si>
  <si>
    <t>55/155</t>
  </si>
  <si>
    <t>Кофейный напиток с</t>
  </si>
  <si>
    <t>Овощи припущенные</t>
  </si>
  <si>
    <t>Омлет с птицей /</t>
  </si>
  <si>
    <t>136/11</t>
  </si>
  <si>
    <t>/ овощи припущенные (капуста)</t>
  </si>
  <si>
    <t>овощи припущенные (морковь)</t>
  </si>
  <si>
    <t>крупа горох</t>
  </si>
  <si>
    <t>выход  подсушенной лапши 20 гр.</t>
  </si>
  <si>
    <t>каша вязкая ( пшёная )</t>
  </si>
  <si>
    <t>каша  вязкая пшёная</t>
  </si>
  <si>
    <t>Крупа пшено</t>
  </si>
  <si>
    <t>филе бедра кур</t>
  </si>
  <si>
    <t>50/140</t>
  </si>
  <si>
    <t>90/30</t>
  </si>
  <si>
    <t>156/24</t>
  </si>
  <si>
    <t>100/30</t>
  </si>
  <si>
    <t>155/25</t>
  </si>
  <si>
    <t>90 / 30</t>
  </si>
  <si>
    <t>110 / 10</t>
  </si>
  <si>
    <t>110 /  70</t>
  </si>
  <si>
    <t>156 / 24</t>
  </si>
  <si>
    <t>/ овощи припущенные (капуста белокачанная)</t>
  </si>
  <si>
    <t>155 / 25</t>
  </si>
  <si>
    <t>100 / 30</t>
  </si>
  <si>
    <t>140 / 40</t>
  </si>
  <si>
    <t>помидор солён.</t>
  </si>
  <si>
    <t>Т Т К</t>
  </si>
  <si>
    <t>Т ТК</t>
  </si>
  <si>
    <t>меню   12- тидневка</t>
  </si>
  <si>
    <t>11-й</t>
  </si>
  <si>
    <t>12-й</t>
  </si>
  <si>
    <t xml:space="preserve">               12 - ТИДНЕВНАЯ  М Е Н Ю  -  Р А С К Л А Д К А    ДЛЯ ПИТАНИЯ ДЕТЕЙ  ШКОЛЬНЫХ </t>
  </si>
  <si>
    <t xml:space="preserve">согласно прибывания   детей в общеобразовательном учреждении </t>
  </si>
  <si>
    <t xml:space="preserve">при одноразовом  питании    1-я смена  25%  завтрак ,     </t>
  </si>
  <si>
    <t xml:space="preserve">2-я смена 35%  обед </t>
  </si>
  <si>
    <t xml:space="preserve">при двухразовом питании   </t>
  </si>
  <si>
    <t xml:space="preserve"> 1-2-я смена   60 %  завтрак - обед , </t>
  </si>
  <si>
    <t>вторая смена 45%  обед - полдник</t>
  </si>
  <si>
    <t>ОСЕНЬ      2022 - ___ г.г.</t>
  </si>
  <si>
    <t>творог (м. д. ж.  не более 9%)</t>
  </si>
  <si>
    <t>7 - й   день</t>
  </si>
  <si>
    <t xml:space="preserve"> 8 - й день</t>
  </si>
  <si>
    <t xml:space="preserve">  11 - й день</t>
  </si>
  <si>
    <t>10 - й   день</t>
  </si>
  <si>
    <t xml:space="preserve">  9 - й день</t>
  </si>
  <si>
    <t>Сб. р-р</t>
  </si>
  <si>
    <t xml:space="preserve"> № рецепта/ год изд.</t>
  </si>
  <si>
    <t xml:space="preserve">  12 - й день</t>
  </si>
  <si>
    <t>195 / 5</t>
  </si>
  <si>
    <t>6-й день</t>
  </si>
  <si>
    <t>140/11</t>
  </si>
  <si>
    <t>свекла тушёная в соусе</t>
  </si>
  <si>
    <t xml:space="preserve">картофель отварной/ </t>
  </si>
  <si>
    <t>90 / 90</t>
  </si>
  <si>
    <t>125/11</t>
  </si>
  <si>
    <t>картофель отварной    /   свекла тушёная</t>
  </si>
  <si>
    <t xml:space="preserve">свекла тушёная </t>
  </si>
  <si>
    <t>Птица тушёная в соусе</t>
  </si>
  <si>
    <t>290/11</t>
  </si>
  <si>
    <t>60/150</t>
  </si>
  <si>
    <t>165 /35</t>
  </si>
  <si>
    <t>огурец свежий в нарезке</t>
  </si>
  <si>
    <t>ИТОГО ЗА ЗАВТРАК</t>
  </si>
  <si>
    <t>ИТОГО ЗА ОБЕД</t>
  </si>
  <si>
    <t>ИТОГО ЗА ПОЛДНИК</t>
  </si>
  <si>
    <t>Напиток  (из груши дички)</t>
  </si>
  <si>
    <t>яйцо ШТ./ГР.</t>
  </si>
  <si>
    <t>Сок фруктовый (персиковый)</t>
  </si>
  <si>
    <t>и моркови  с молоком</t>
  </si>
  <si>
    <t>сгущённым</t>
  </si>
  <si>
    <t>помидор свежий в нарезке</t>
  </si>
  <si>
    <t>картофеля с соусом сметанным</t>
  </si>
  <si>
    <t>апельсин</t>
  </si>
  <si>
    <t>чай с лимоном</t>
  </si>
  <si>
    <t>лимон</t>
  </si>
  <si>
    <t>Напиток (из груша дичка)</t>
  </si>
  <si>
    <t>Сок фруктовый (абрикосовый)</t>
  </si>
  <si>
    <t>Суфле из печени с соусом</t>
  </si>
  <si>
    <t>сметанным с луком</t>
  </si>
  <si>
    <t>Суфле из печени с соусом сметанным с луком</t>
  </si>
  <si>
    <t>Чай с лимоном</t>
  </si>
  <si>
    <t>(консервированный)</t>
  </si>
  <si>
    <t>консервированный</t>
  </si>
  <si>
    <t>Биточек рыбные (минтай)</t>
  </si>
  <si>
    <t>Биточек рыбный (минтай)</t>
  </si>
  <si>
    <t>60 /60</t>
  </si>
  <si>
    <t>261/11</t>
  </si>
  <si>
    <t>соусе</t>
  </si>
  <si>
    <t>55 / 55</t>
  </si>
  <si>
    <t>Капуста св.</t>
  </si>
  <si>
    <t>картофель пюре / овощи</t>
  </si>
  <si>
    <t>отварные (капуста)</t>
  </si>
  <si>
    <t>Икра свекольная</t>
  </si>
  <si>
    <t xml:space="preserve">Печень в сметанном </t>
  </si>
  <si>
    <t xml:space="preserve">печень </t>
  </si>
  <si>
    <t>лавр. лист</t>
  </si>
  <si>
    <t xml:space="preserve">Суп крестьянский с </t>
  </si>
  <si>
    <t xml:space="preserve">крупой </t>
  </si>
  <si>
    <t>/ овощи отварные</t>
  </si>
  <si>
    <t>Икра морковная</t>
  </si>
  <si>
    <t>крахмал карт</t>
  </si>
  <si>
    <t>Суп с крупой пшеничной</t>
  </si>
  <si>
    <t>54-2гн/22</t>
  </si>
  <si>
    <t>горошек конс</t>
  </si>
  <si>
    <t>укроп</t>
  </si>
  <si>
    <t>54-2з/22</t>
  </si>
  <si>
    <t>54-2г/22</t>
  </si>
  <si>
    <t>54-1з/22</t>
  </si>
  <si>
    <t xml:space="preserve">сыр твёрдых </t>
  </si>
  <si>
    <t>сортов в нарезке</t>
  </si>
  <si>
    <t>54-3з/22</t>
  </si>
  <si>
    <t>54-12з/22</t>
  </si>
  <si>
    <t>саха -песок</t>
  </si>
  <si>
    <t>кислота лимон</t>
  </si>
  <si>
    <t>специи зелень сушёная</t>
  </si>
  <si>
    <t xml:space="preserve">мясо тушёное </t>
  </si>
  <si>
    <t>54-15з/22</t>
  </si>
  <si>
    <t>54-1хн/22</t>
  </si>
  <si>
    <t>икра секольная</t>
  </si>
  <si>
    <t>54-2ГН/22</t>
  </si>
  <si>
    <t>сыр твёрдых сортов в нарезке</t>
  </si>
  <si>
    <t>сыр полутвёрдый</t>
  </si>
  <si>
    <t xml:space="preserve">   чай без сахара</t>
  </si>
  <si>
    <t>чай без сахара</t>
  </si>
  <si>
    <t>Кисель из яблок</t>
  </si>
  <si>
    <t>54-3з/22г.</t>
  </si>
  <si>
    <t>155 / 35</t>
  </si>
  <si>
    <t>РЕПА</t>
  </si>
  <si>
    <t>репа</t>
  </si>
  <si>
    <t>тушёная</t>
  </si>
  <si>
    <t xml:space="preserve">Кисель из яблок </t>
  </si>
  <si>
    <t xml:space="preserve">54-20з/22г. </t>
  </si>
  <si>
    <t>спреции зелень сушёная</t>
  </si>
  <si>
    <t>54-3гн/22</t>
  </si>
  <si>
    <t>(пшёная)</t>
  </si>
  <si>
    <t>Вермишель</t>
  </si>
  <si>
    <t>каша вязкая ( рисовая )</t>
  </si>
  <si>
    <t>каша вязкая ( рисовая )/</t>
  </si>
  <si>
    <t>Морковь в нарезке</t>
  </si>
  <si>
    <t>54-32з/22</t>
  </si>
  <si>
    <t>54-31з/22</t>
  </si>
  <si>
    <t>Капуста в нарезке</t>
  </si>
  <si>
    <t>Капуста белокачанная</t>
  </si>
  <si>
    <t>свежая</t>
  </si>
  <si>
    <t>138/11</t>
  </si>
  <si>
    <t>овощи припущенные в молочном соусе</t>
  </si>
  <si>
    <t>молочном соусе</t>
  </si>
  <si>
    <t xml:space="preserve">/ овощи припущенные в </t>
  </si>
  <si>
    <t xml:space="preserve">говядина </t>
  </si>
  <si>
    <t>сухари</t>
  </si>
  <si>
    <t>сырок плавленный</t>
  </si>
  <si>
    <t>Котлета морковная</t>
  </si>
  <si>
    <t>с творогом</t>
  </si>
  <si>
    <t>соус к котлете морковной</t>
  </si>
  <si>
    <t>152/11</t>
  </si>
  <si>
    <t>Картофельные ватрушки</t>
  </si>
  <si>
    <t xml:space="preserve"> с мясом </t>
  </si>
  <si>
    <t>фарш 24 гр.</t>
  </si>
  <si>
    <t>Картофельные ватрушки с мясом</t>
  </si>
  <si>
    <t>зелень сушёная</t>
  </si>
  <si>
    <t>Компот из свежих фруктов</t>
  </si>
  <si>
    <t>сухарь панированный</t>
  </si>
  <si>
    <t>342/11</t>
  </si>
  <si>
    <t>135/45</t>
  </si>
  <si>
    <t xml:space="preserve">                            ДВЕНАДЦАТИДНЕВНОЕ МЕНЮ ПРИГОТОВЛЯЕМЫХ БЛЮД </t>
  </si>
  <si>
    <t xml:space="preserve"> ПЕРИОД:     О С Е Н Ь</t>
  </si>
  <si>
    <t xml:space="preserve">                                       12 - ТИДНЕВНОЕ  МЕНЮ ПРИГОТОВЛЯЕМЫХ БЛЮД ШКОЛЬНЫХ    </t>
  </si>
  <si>
    <t>54-2з/22г.</t>
  </si>
  <si>
    <t>Икра секольная</t>
  </si>
  <si>
    <t xml:space="preserve">запеканка из творога и моркови с </t>
  </si>
  <si>
    <t>ОСЕНЬ  -    2022 - ___ г.г.</t>
  </si>
  <si>
    <t>Горошек зелёный (консервированный)</t>
  </si>
  <si>
    <t>54-20з/22</t>
  </si>
  <si>
    <t>Биточек  рыбный (минтай)</t>
  </si>
  <si>
    <t>ПРИЛОЖЕНИЕ К МЕНЮ</t>
  </si>
  <si>
    <t xml:space="preserve">                                    ТАБЛИЦА   ПОТРЕБНОСТИ  ВИТАМИНОВ  И  МИНЕРАЛЬНЫХ ВЕЩЕСТВ</t>
  </si>
  <si>
    <t xml:space="preserve">              ШКОЛЬНЫХ   З А В Т Р А К О В    -    О Б Е Д  О В    И    П О Л Д Н И К О В</t>
  </si>
  <si>
    <t xml:space="preserve">                               Возрастная категория:         12    лет  и  старше</t>
  </si>
  <si>
    <t xml:space="preserve">  Возрастная категория:  12  лет и старше</t>
  </si>
  <si>
    <t>Д Е Н Ь    1 - й</t>
  </si>
  <si>
    <t>№ сб.</t>
  </si>
  <si>
    <t xml:space="preserve">  Витамины  ( мг./сут. )</t>
  </si>
  <si>
    <t>Минеральные веществава (мг)</t>
  </si>
  <si>
    <t xml:space="preserve">№ </t>
  </si>
  <si>
    <t xml:space="preserve">р-р </t>
  </si>
  <si>
    <t>С</t>
  </si>
  <si>
    <t>В1</t>
  </si>
  <si>
    <t>В2</t>
  </si>
  <si>
    <t>A</t>
  </si>
  <si>
    <t>Ca</t>
  </si>
  <si>
    <t>P</t>
  </si>
  <si>
    <t>Mg</t>
  </si>
  <si>
    <t>Fe</t>
  </si>
  <si>
    <t>К</t>
  </si>
  <si>
    <t>I</t>
  </si>
  <si>
    <t>Sе</t>
  </si>
  <si>
    <t>F</t>
  </si>
  <si>
    <t>ТК</t>
  </si>
  <si>
    <t>г.изд.</t>
  </si>
  <si>
    <t>кальций</t>
  </si>
  <si>
    <t>фосфор</t>
  </si>
  <si>
    <t>магний</t>
  </si>
  <si>
    <t>железо</t>
  </si>
  <si>
    <t>калий</t>
  </si>
  <si>
    <t>йод</t>
  </si>
  <si>
    <t>селен</t>
  </si>
  <si>
    <t>фтор</t>
  </si>
  <si>
    <t>отклонение от нормы</t>
  </si>
  <si>
    <t xml:space="preserve">  ВСЕГО: за  завтрак  -   обед - полдник</t>
  </si>
  <si>
    <t>Д Е Н Ь    2 - й</t>
  </si>
  <si>
    <t>Минерал. в-ва (мг)</t>
  </si>
  <si>
    <t>Д Е Н Ь    3  - й</t>
  </si>
  <si>
    <t>110 /70</t>
  </si>
  <si>
    <t>Д Е Н Ь    4  - й</t>
  </si>
  <si>
    <t>Д Е Н Ь    5 - й</t>
  </si>
  <si>
    <t xml:space="preserve">  ПРИГОТОВЛЯЕМЫХ БЛЮД </t>
  </si>
  <si>
    <t xml:space="preserve">     З А В Т Р А К О В  -  О Б Е Д О В   - П О Л Д Н И К О В</t>
  </si>
  <si>
    <t>ДЛЯ  УЧАЩИХСЯ  В ОБЩЕОБРАЗОВАТЕЛЬНОМ УЧРЕЖДЕНИЕ</t>
  </si>
  <si>
    <t xml:space="preserve">      Возрастная категория:    12  лет  и старше</t>
  </si>
  <si>
    <t>12-18 лет</t>
  </si>
  <si>
    <t>Д Е Н Ь    6 - й</t>
  </si>
  <si>
    <t xml:space="preserve">    ВСЕГО: за  завтрак  -   обед - полдник</t>
  </si>
  <si>
    <t>Д Е Н Ь   7 - й</t>
  </si>
  <si>
    <t>Д Е Н Ь   8 - й</t>
  </si>
  <si>
    <t>Д Е Н Ь   9 - й</t>
  </si>
  <si>
    <t>Д Е Н Ь   10 - й</t>
  </si>
  <si>
    <t xml:space="preserve"> 2-я неделя</t>
  </si>
  <si>
    <t xml:space="preserve">  Возрастная категория:  7 -   11  лет </t>
  </si>
  <si>
    <t xml:space="preserve"> 1   -   2-я   неделя</t>
  </si>
  <si>
    <t>Возрастная категория: 12-  лет  и старше</t>
  </si>
  <si>
    <t>завтрак-обед-полдник</t>
  </si>
  <si>
    <t>Сборник рецептур блюд и типовых меню для организации питания детей</t>
  </si>
  <si>
    <t xml:space="preserve">образовательных организациях и организациях отдыха детей и их оздоровления   (от 7 до 18 лет) </t>
  </si>
  <si>
    <t xml:space="preserve"> ФБУН "НИИ" Роспотребнадзора И.И.Новикова разработчик (протокол №3 от 19.05.2022 г.)</t>
  </si>
  <si>
    <t xml:space="preserve">                      К       ДВЕНАДЦАТИДНЕВНОМУ  МЕНЮ ПРИГОТОВЛЯЕМЫХ БЛЮД </t>
  </si>
  <si>
    <t xml:space="preserve">  ТАБЛИЦА   ПОТРЕБНОСТИ  ВИТАМИНОВ  И  МИНЕРАЛЬНЫХ ВЕЩЕСТВ К 12- ТИДНЕВНОМУ  МЕНЮ</t>
  </si>
  <si>
    <t>Среднее за 12 дней (фактически)</t>
  </si>
  <si>
    <t>Среднее за 6 дней   (фактически)</t>
  </si>
  <si>
    <t xml:space="preserve">меню завтраки - обеды-полдники  12-тидневка </t>
  </si>
  <si>
    <t xml:space="preserve">меню обеды-полдники  12-тидневка </t>
  </si>
  <si>
    <t xml:space="preserve">меню завтраки - обеды   12-тидневка </t>
  </si>
  <si>
    <t xml:space="preserve">меню -полдники  12-тидневка </t>
  </si>
  <si>
    <t xml:space="preserve">меню  обеды  12-тидневка </t>
  </si>
  <si>
    <t xml:space="preserve">меню завтраки   12-тидневка </t>
  </si>
  <si>
    <t xml:space="preserve">меню завтраки - обеды - полдники  12-тидневка </t>
  </si>
  <si>
    <t>45/150</t>
  </si>
  <si>
    <t>Каша жидкая молочная  (пшёная)</t>
  </si>
  <si>
    <t>Сыр твёрдых сортов в нарезке</t>
  </si>
  <si>
    <t>Суп крестьянский с крупой</t>
  </si>
  <si>
    <t>Печень в сметанном соусе</t>
  </si>
  <si>
    <t>54-32з/22г.</t>
  </si>
  <si>
    <t>9 -й</t>
  </si>
  <si>
    <t>11 -й</t>
  </si>
  <si>
    <t>165 / 35</t>
  </si>
  <si>
    <t xml:space="preserve"> 12 - ТИДНЕВНОЕ  МЕНЮ ПРИГОТОВЛЯЕМЫХ БЛЮД ШКОЛЬНЫХ    </t>
  </si>
  <si>
    <t xml:space="preserve"> З А В Т Р А К О В  -  О Б Е Д О В   - П О Л Д Н И К О В</t>
  </si>
  <si>
    <t xml:space="preserve">  Возрастная категория: с 12  лет и старше</t>
  </si>
  <si>
    <t>Картофельное пюре / Капуста тушёная</t>
  </si>
  <si>
    <t>128-139 /11</t>
  </si>
  <si>
    <t>135 / 45</t>
  </si>
  <si>
    <t xml:space="preserve">Картофель отварной/ </t>
  </si>
  <si>
    <t xml:space="preserve">Свекла тушёная </t>
  </si>
  <si>
    <t>Каша вязкая (рисовая) / овощи</t>
  </si>
  <si>
    <t>припущенные в молочном соусе</t>
  </si>
  <si>
    <t>Котлета морковная с творогом</t>
  </si>
  <si>
    <t>152 /11</t>
  </si>
  <si>
    <t>12 -й</t>
  </si>
  <si>
    <t>ОСЕНЬ     2022 - ___ г.г.</t>
  </si>
  <si>
    <t>54-31з/22г.</t>
  </si>
  <si>
    <t>Д Е Н Ь    12 - й</t>
  </si>
  <si>
    <t>Д Е Н Ь   11 - й</t>
  </si>
  <si>
    <t>70/30</t>
  </si>
  <si>
    <t>Хлеб ржаной</t>
  </si>
  <si>
    <t>ТТК / 82 / 11</t>
  </si>
  <si>
    <t>ТТК / 349 / 11</t>
  </si>
  <si>
    <t>ТТК / 111 / 11</t>
  </si>
  <si>
    <t>ТТК /212/11</t>
  </si>
  <si>
    <t>ТТК / 379 / 11</t>
  </si>
  <si>
    <t>ТТК / 99 / 11</t>
  </si>
  <si>
    <t>ТТК/54-34гн/22</t>
  </si>
  <si>
    <t>ТТК / 102 / 11</t>
  </si>
  <si>
    <t>ТТК/54-гн/22</t>
  </si>
  <si>
    <t>ТТК / 352/ 11</t>
  </si>
  <si>
    <t>ТТК / 108/ 11</t>
  </si>
  <si>
    <t>ТТК / 149 / 11</t>
  </si>
  <si>
    <t>ТТК / 377/ 11</t>
  </si>
  <si>
    <t>ТТК /483 / 16</t>
  </si>
  <si>
    <t>ТТК /379/11</t>
  </si>
  <si>
    <t>ТТК / 96 / 11</t>
  </si>
  <si>
    <t>ТТК / 379/ 11</t>
  </si>
  <si>
    <t>ТТК / 299/ 11</t>
  </si>
  <si>
    <t>ТТК / 349/ 11</t>
  </si>
  <si>
    <t>ТТК / 115 / 11</t>
  </si>
  <si>
    <t>ТТК / 83 / 11</t>
  </si>
  <si>
    <t>ТТК / 352 / 11</t>
  </si>
  <si>
    <t>ТТК / 377 / 11</t>
  </si>
  <si>
    <t>ТТК / 114 / 11</t>
  </si>
  <si>
    <t>ТТК/54-3м/22</t>
  </si>
  <si>
    <t>ТТК/338/11</t>
  </si>
  <si>
    <t>ТТК/111/11</t>
  </si>
  <si>
    <t>ТТК/212/11</t>
  </si>
  <si>
    <t>ТТК/379/11</t>
  </si>
  <si>
    <t>ТТК/ 99 /11</t>
  </si>
  <si>
    <t xml:space="preserve">Чай фруктовый </t>
  </si>
  <si>
    <t>54-34гн/22</t>
  </si>
  <si>
    <t>ТТК/102/11</t>
  </si>
  <si>
    <t>54-гн/22</t>
  </si>
  <si>
    <t>ТТК/352/11</t>
  </si>
  <si>
    <t>ТТК/108/11</t>
  </si>
  <si>
    <t>149/11</t>
  </si>
  <si>
    <t>ТТК/377/11</t>
  </si>
  <si>
    <t>ТТК/96/11</t>
  </si>
  <si>
    <t>299/11</t>
  </si>
  <si>
    <t>ТТК/115/11</t>
  </si>
  <si>
    <t>ТТК/ 83 /11</t>
  </si>
  <si>
    <t>ТТК/114/11</t>
  </si>
  <si>
    <t>ТТК/98/11</t>
  </si>
  <si>
    <t>ТТК /98 / 11</t>
  </si>
  <si>
    <t>ТТК / 88 /11</t>
  </si>
  <si>
    <t>ТТК/54-20с/22</t>
  </si>
  <si>
    <t>Суп карт. с рыбой (минтай)</t>
  </si>
  <si>
    <t>Суп картофельный с рыбой (минтай)</t>
  </si>
  <si>
    <t>ТТК/181/11</t>
  </si>
  <si>
    <t>129/11</t>
  </si>
  <si>
    <t>128-129 /11</t>
  </si>
  <si>
    <t>специи зелень сушён.</t>
  </si>
  <si>
    <t>ТТК/483/16</t>
  </si>
  <si>
    <t>70 / 30</t>
  </si>
  <si>
    <t xml:space="preserve">зразы мясные </t>
  </si>
  <si>
    <t>ТТК/298/11</t>
  </si>
  <si>
    <t>зразы мясные</t>
  </si>
  <si>
    <t xml:space="preserve">Зразы мясные </t>
  </si>
  <si>
    <t>ТТК/299/11</t>
  </si>
  <si>
    <t>ТТК/349/11</t>
  </si>
  <si>
    <t>Борщ с картофелем и свежей капустой</t>
  </si>
  <si>
    <t>макароны отварные с овощами</t>
  </si>
  <si>
    <t>ТТК/82/11</t>
  </si>
  <si>
    <t>Каша жидкая молочная из манной крупы</t>
  </si>
  <si>
    <t>картофель пюре / Капуста тушёная</t>
  </si>
  <si>
    <t>128-139/11</t>
  </si>
  <si>
    <t>КОМПАНОВКА  12- ТИДНЕВНОЕ  МЕНЮ ШКОЛЬНЫХ    З А В Т Р А К О В  - О Б Е Д О В - П О Л Д Н И К О В</t>
  </si>
  <si>
    <t>Каша жидкая молочная (рисовая)</t>
  </si>
  <si>
    <t>горошек зелёный (консервированный)</t>
  </si>
  <si>
    <t>Щи из свежей капусты с картофелем</t>
  </si>
  <si>
    <t>ТТК/88/11</t>
  </si>
  <si>
    <t>картофель отварной/ свекла тушёная</t>
  </si>
  <si>
    <t>125-140/11</t>
  </si>
  <si>
    <t>50 / 40</t>
  </si>
  <si>
    <t>Хлеб пшеничный  / Хлеб ржаной</t>
  </si>
  <si>
    <t>40 / 30</t>
  </si>
  <si>
    <t>50 / 20</t>
  </si>
  <si>
    <t>70 / 40</t>
  </si>
  <si>
    <r>
      <t xml:space="preserve">Компановка сырья по БРУТТО (продукт без очистки ):,    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 продукт после очистки)</t>
    </r>
  </si>
  <si>
    <t>ИТОГО крупа</t>
  </si>
  <si>
    <t>ИТОГО овощи</t>
  </si>
  <si>
    <t>ИТОГО  птица</t>
  </si>
  <si>
    <t>ИТОГО  мяса</t>
  </si>
  <si>
    <t>ИТОГО круп</t>
  </si>
  <si>
    <t>ФРУКТЫ</t>
  </si>
  <si>
    <t>ЯБЛОКО</t>
  </si>
  <si>
    <t>БАНАН</t>
  </si>
  <si>
    <t>АПЕЛЬСИН</t>
  </si>
  <si>
    <t>ЛИМОН</t>
  </si>
  <si>
    <t>ИТОГО  ФРУКТЫ</t>
  </si>
  <si>
    <t>специи (зелень сушёная)</t>
  </si>
  <si>
    <t xml:space="preserve">         О Б Е Д</t>
  </si>
  <si>
    <t xml:space="preserve">       З А В Т Р А К</t>
  </si>
  <si>
    <t xml:space="preserve">     П О Л Д Н И К </t>
  </si>
  <si>
    <t xml:space="preserve">   ЗАВТРАК -  ОБЕД</t>
  </si>
  <si>
    <t xml:space="preserve">   ЗАВТРАК - ОБЕД</t>
  </si>
  <si>
    <t>ОБЕД - ПОЛДНИК</t>
  </si>
  <si>
    <t xml:space="preserve">   ОБЕД - ПОЛДНИК</t>
  </si>
  <si>
    <t xml:space="preserve"> ЗАВТРАК -ОБЕД- ПОЛДНИК</t>
  </si>
  <si>
    <t>ИТОГО ОБЩИЙ  РАСХОД  СЫРЬЯ</t>
  </si>
  <si>
    <t>ИТОГО ПТИЦА</t>
  </si>
  <si>
    <t>ИТОГО МЯСО</t>
  </si>
  <si>
    <t>ГОВЯДИНА</t>
  </si>
  <si>
    <t>СВИНИНА</t>
  </si>
  <si>
    <t>яйцо  шт. /  гр.</t>
  </si>
  <si>
    <t>ИТОГО ОВОЩИ</t>
  </si>
  <si>
    <t>ИТОГО КРУПА</t>
  </si>
  <si>
    <t>ИТОГО ФРУКТЫ</t>
  </si>
  <si>
    <t>3- й   день</t>
  </si>
  <si>
    <t>ФРУКТЫ    ЯБЛОКО</t>
  </si>
  <si>
    <t>КРУПЫ ячневая</t>
  </si>
  <si>
    <t>сок (груша дичка)</t>
  </si>
  <si>
    <t>яйцо шт. /  гр.</t>
  </si>
  <si>
    <t>4 - й   день</t>
  </si>
  <si>
    <t>молоко сгущен</t>
  </si>
  <si>
    <t>ИТОГО  молоко</t>
  </si>
  <si>
    <t xml:space="preserve">ИТОГО  молоко </t>
  </si>
  <si>
    <t>5 - й   день</t>
  </si>
  <si>
    <t>итого овощи</t>
  </si>
  <si>
    <t>сок персиковый</t>
  </si>
  <si>
    <t>6 - й   день</t>
  </si>
  <si>
    <t>яйцошт. / гр.</t>
  </si>
  <si>
    <t>7- й   день</t>
  </si>
  <si>
    <t>8- й   день</t>
  </si>
  <si>
    <t>9- й   день</t>
  </si>
  <si>
    <t>10- й   день</t>
  </si>
  <si>
    <t>11- й   день</t>
  </si>
  <si>
    <t>12- й   день</t>
  </si>
  <si>
    <t>напиток груша дичка</t>
  </si>
  <si>
    <t>сок абрикосовый</t>
  </si>
  <si>
    <t>вермишель</t>
  </si>
  <si>
    <t>сыр (плавленный)</t>
  </si>
  <si>
    <t>яйцо шт./гр.</t>
  </si>
  <si>
    <t>90/40</t>
  </si>
  <si>
    <t>90 / 40</t>
  </si>
  <si>
    <t>чистый вес яйца без скорлупы 40 гр. РАСЧЁТ ЯЙЦА К МАССЕ НЕТТО</t>
  </si>
  <si>
    <t xml:space="preserve"> К МАССЕ БРУТТО соотношения яйца в скорлупе средняя масс 44 гр. потери на скорлупу 9,1%</t>
  </si>
  <si>
    <t>меню   12 - тидневка</t>
  </si>
  <si>
    <t xml:space="preserve">какао с молоком </t>
  </si>
  <si>
    <t xml:space="preserve">норма </t>
  </si>
  <si>
    <t>СанПиН</t>
  </si>
  <si>
    <t>суточная</t>
  </si>
  <si>
    <t xml:space="preserve"> дней</t>
  </si>
  <si>
    <t>12 дн.</t>
  </si>
  <si>
    <t>ккал</t>
  </si>
  <si>
    <t>отклонение от нормы    %</t>
  </si>
  <si>
    <t>отклонение от нормы   %</t>
  </si>
  <si>
    <t>отклонение от нормы %</t>
  </si>
  <si>
    <t>отклонение от нормы  %</t>
  </si>
  <si>
    <t>отклонение от нормы        %</t>
  </si>
  <si>
    <t>60 / 60</t>
  </si>
  <si>
    <t>54-1з/22г.</t>
  </si>
  <si>
    <t>ТТК /82 /11</t>
  </si>
  <si>
    <t>ТТК/349 /11</t>
  </si>
  <si>
    <t>ТТК/111 /11</t>
  </si>
  <si>
    <t>110 /10</t>
  </si>
  <si>
    <t>128-136/11</t>
  </si>
  <si>
    <t>ТТК/99/11</t>
  </si>
  <si>
    <t>ТТК/149/11</t>
  </si>
  <si>
    <t>ТТК /483/16</t>
  </si>
  <si>
    <t xml:space="preserve">Картофельное пюре / Капуста </t>
  </si>
  <si>
    <t>110/ 10</t>
  </si>
  <si>
    <t xml:space="preserve">   12 - ТИДНЕВНОЕ  МЕНЮ  ПРИГОТОВЛЯЕМЫХ  БЛЮД ШКОЛЬНЫХ    З А В Т Р А К О В - О Б Е Д О В - П О Л Д Н И К О В</t>
  </si>
  <si>
    <t>отклонение от нормы    (  +  / -  )    %</t>
  </si>
  <si>
    <t>Энергетическая  ценность</t>
  </si>
  <si>
    <t xml:space="preserve">  Суточная потребность   по СанПиН  </t>
  </si>
  <si>
    <t>Ккал</t>
  </si>
  <si>
    <t>Единый сборник технологических нормативов, рецептур блюд и кулинарных изделий</t>
  </si>
  <si>
    <t xml:space="preserve"> / сост.А.Я.Перевалов.  Н.В.Тапешкина.-Изд-е 4-е доп.и испр..-Пермь, 2021.-410с.</t>
  </si>
  <si>
    <t xml:space="preserve">   Суточная потребность   по СанПиН  </t>
  </si>
  <si>
    <t>Бутерброд с сыром</t>
  </si>
  <si>
    <t>ТТК /3/11</t>
  </si>
  <si>
    <t>15 / 35</t>
  </si>
  <si>
    <t>Котлета рыбная (минтай)</t>
  </si>
  <si>
    <t>347/21</t>
  </si>
  <si>
    <t>Котлета школьная</t>
  </si>
  <si>
    <t>тефтели рыбные (минтай)</t>
  </si>
  <si>
    <t>Салат из квашеной капусты</t>
  </si>
  <si>
    <t xml:space="preserve">Салат из квашеной </t>
  </si>
  <si>
    <t xml:space="preserve"> капусты</t>
  </si>
  <si>
    <t>0, 105</t>
  </si>
  <si>
    <t>вода для бульона</t>
  </si>
  <si>
    <t>0,125 шт.</t>
  </si>
  <si>
    <t>ТТК/142/11</t>
  </si>
  <si>
    <t>0,155 шт.</t>
  </si>
  <si>
    <t>2,932 шт.</t>
  </si>
  <si>
    <t>0,04 шт.</t>
  </si>
  <si>
    <t>0,023шт.</t>
  </si>
  <si>
    <t>0,035шт.</t>
  </si>
  <si>
    <t>0,195шт.</t>
  </si>
  <si>
    <t>0,005 шт.</t>
  </si>
  <si>
    <t>0,143шт.</t>
  </si>
  <si>
    <t>0,03 шт.</t>
  </si>
  <si>
    <t>0,025 шт.</t>
  </si>
  <si>
    <t>0,075 шт.</t>
  </si>
  <si>
    <t>2,435 шт.</t>
  </si>
  <si>
    <t>0,5725 шт.</t>
  </si>
  <si>
    <t>0,242шт.</t>
  </si>
  <si>
    <t>0,1шт.</t>
  </si>
  <si>
    <t>0,093 шт.</t>
  </si>
  <si>
    <t>0,0735 шт.</t>
  </si>
  <si>
    <t>0,47 шт.</t>
  </si>
  <si>
    <t>0,22 шт.</t>
  </si>
  <si>
    <t>0,1 шт.</t>
  </si>
  <si>
    <t>ТТК/165/11</t>
  </si>
  <si>
    <t>ТТК/165 /11</t>
  </si>
  <si>
    <t>ТТК/206/11</t>
  </si>
  <si>
    <t>ТТК/282/11</t>
  </si>
  <si>
    <t>ТТК / 282 / 11</t>
  </si>
  <si>
    <t>Плоды свежие (яблоко)</t>
  </si>
  <si>
    <t>82 / 21</t>
  </si>
  <si>
    <t>Плоды свежие ( яблоко )</t>
  </si>
  <si>
    <t>Плоды свежие (банан)</t>
  </si>
  <si>
    <t>Плоды свежие ( бананы )</t>
  </si>
  <si>
    <t>Плоды свежие ( банан)</t>
  </si>
  <si>
    <t>Плоды свежие (яблоко )</t>
  </si>
  <si>
    <t>Плоды свежие  ( яблоки )</t>
  </si>
  <si>
    <t>Плоды свежие  ( яблоко )</t>
  </si>
  <si>
    <t>Плоды  свежие (апельсин)</t>
  </si>
  <si>
    <t>Плоды свежие (бананы )</t>
  </si>
  <si>
    <t>Плоды  свежие (банан)</t>
  </si>
  <si>
    <t>Плоды  свежие (яблоко )</t>
  </si>
  <si>
    <t>и витаминами</t>
  </si>
  <si>
    <t>502/21</t>
  </si>
  <si>
    <t>Какао с молоком и витаминами</t>
  </si>
  <si>
    <t>ТТК / 502 / 21</t>
  </si>
  <si>
    <t>ТТК/502 /21</t>
  </si>
  <si>
    <t>Какао с молоком и витаминиами</t>
  </si>
  <si>
    <t>ТТК/502/21</t>
  </si>
  <si>
    <t>Запеканка из  творога и моркови с молоком сгущёным</t>
  </si>
  <si>
    <t>156/ 24</t>
  </si>
  <si>
    <t>165/ 35</t>
  </si>
  <si>
    <t>155/ 35</t>
  </si>
  <si>
    <t>135/ 45</t>
  </si>
  <si>
    <t>110 /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</si>
</sst>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0000"/>
    <numFmt numFmtId="171" formatCode="#,##0.0_р_."/>
  </numFmts>
  <fonts count="145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sz val="8"/>
      <color rgb="FFC00000"/>
      <name val="Calibri"/>
      <family val="2"/>
      <charset val="204"/>
    </font>
    <font>
      <b/>
      <sz val="12"/>
      <name val="Calibri"/>
      <family val="2"/>
      <charset val="204"/>
    </font>
    <font>
      <i/>
      <sz val="7"/>
      <name val="Arial Cyr"/>
      <family val="2"/>
      <charset val="204"/>
    </font>
    <font>
      <i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1"/>
      <name val="Calibri"/>
      <family val="2"/>
      <charset val="204"/>
    </font>
    <font>
      <sz val="6"/>
      <name val="Arial Cyr"/>
      <charset val="204"/>
    </font>
    <font>
      <b/>
      <sz val="12"/>
      <color rgb="FF002060"/>
      <name val="Calibri"/>
      <family val="2"/>
      <charset val="204"/>
    </font>
    <font>
      <b/>
      <sz val="7"/>
      <name val="Arial Cyr"/>
      <charset val="204"/>
    </font>
    <font>
      <sz val="11"/>
      <color rgb="FFC00000"/>
      <name val="Calibri"/>
      <family val="2"/>
      <charset val="204"/>
    </font>
    <font>
      <b/>
      <sz val="10"/>
      <color rgb="FFC00000"/>
      <name val="Arial Cyr"/>
      <family val="2"/>
      <charset val="204"/>
    </font>
    <font>
      <sz val="10"/>
      <name val="Cambria"/>
      <family val="1"/>
      <charset val="204"/>
    </font>
    <font>
      <sz val="11"/>
      <color theme="7" tint="-0.499984740745262"/>
      <name val="Calibri"/>
      <family val="2"/>
      <charset val="204"/>
    </font>
    <font>
      <sz val="10.5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7.5"/>
      <color rgb="FF000000"/>
      <name val="Calibri"/>
      <family val="2"/>
      <charset val="204"/>
    </font>
    <font>
      <b/>
      <sz val="7"/>
      <color rgb="FFC0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theme="7" tint="-0.499984740745262"/>
      <name val="Calibri"/>
      <family val="2"/>
      <charset val="204"/>
    </font>
    <font>
      <b/>
      <sz val="9"/>
      <color theme="1"/>
      <name val="Arial Cyr"/>
      <charset val="204"/>
    </font>
    <font>
      <b/>
      <i/>
      <sz val="11"/>
      <color rgb="FF000000"/>
      <name val="Calibri"/>
      <family val="2"/>
      <charset val="204"/>
    </font>
    <font>
      <b/>
      <i/>
      <sz val="7"/>
      <name val="Arial Cyr"/>
      <charset val="204"/>
    </font>
    <font>
      <b/>
      <i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sz val="8"/>
      <color rgb="FFFF0000"/>
      <name val="Calibri"/>
      <family val="2"/>
      <charset val="204"/>
    </font>
    <font>
      <sz val="5"/>
      <name val="Arial Cyr"/>
      <family val="2"/>
      <charset val="204"/>
    </font>
    <font>
      <sz val="10"/>
      <color rgb="FFC00000"/>
      <name val="Calibri"/>
      <family val="2"/>
      <charset val="204"/>
    </font>
    <font>
      <b/>
      <sz val="7"/>
      <color rgb="FF002060"/>
      <name val="Calibri"/>
      <family val="2"/>
      <charset val="204"/>
    </font>
    <font>
      <b/>
      <sz val="6"/>
      <color rgb="FF002060"/>
      <name val="Calibri"/>
      <family val="2"/>
      <charset val="204"/>
    </font>
    <font>
      <sz val="5"/>
      <color rgb="FF000000"/>
      <name val="Calibri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7.5"/>
      <name val="Arial Cyr"/>
      <family val="2"/>
      <charset val="204"/>
    </font>
    <font>
      <sz val="8"/>
      <color rgb="FFC00000"/>
      <name val="Arial Cyr"/>
      <family val="2"/>
      <charset val="204"/>
    </font>
    <font>
      <b/>
      <sz val="6"/>
      <name val="Arial Cyr"/>
      <family val="2"/>
      <charset val="204"/>
    </font>
    <font>
      <b/>
      <sz val="10"/>
      <color rgb="FFC00000"/>
      <name val="Calibri"/>
      <family val="2"/>
      <charset val="204"/>
    </font>
    <font>
      <b/>
      <sz val="8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rgb="FF00206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BDD7E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BDD7EE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E6B9B8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7" tint="0.79998168889431442"/>
        <bgColor rgb="FFFFD966"/>
      </patternFill>
    </fill>
    <fill>
      <patternFill patternType="solid">
        <fgColor theme="7" tint="0.79998168889431442"/>
        <bgColor rgb="FFFF9900"/>
      </patternFill>
    </fill>
    <fill>
      <patternFill patternType="solid">
        <fgColor theme="0" tint="-4.9989318521683403E-2"/>
        <bgColor rgb="FFE6B9B8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5" tint="0.79998168889431442"/>
        <bgColor rgb="FFE6B9B8"/>
      </patternFill>
    </fill>
    <fill>
      <patternFill patternType="solid">
        <fgColor theme="8" tint="0.79998168889431442"/>
        <bgColor rgb="FFFAC090"/>
      </patternFill>
    </fill>
    <fill>
      <patternFill patternType="solid">
        <fgColor theme="8" tint="0.79998168889431442"/>
        <bgColor rgb="FFE6B9B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3" tint="0.79998168889431442"/>
        <bgColor rgb="FFFAC09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FAC090"/>
      </patternFill>
    </fill>
    <fill>
      <patternFill patternType="solid">
        <fgColor theme="6" tint="0.79998168889431442"/>
        <bgColor rgb="FFE6B9B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rgb="FFC3D69B"/>
      </patternFill>
    </fill>
    <fill>
      <patternFill patternType="solid">
        <fgColor theme="0" tint="-4.9989318521683403E-2"/>
        <bgColor rgb="FFEBF1DE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1" fillId="0" borderId="0" applyFont="0" applyFill="0" applyBorder="0" applyAlignment="0" applyProtection="0"/>
  </cellStyleXfs>
  <cellXfs count="26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23" fillId="0" borderId="0" xfId="0" applyFont="1"/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2" fillId="0" borderId="0" xfId="0" applyFont="1"/>
    <xf numFmtId="0" fontId="3" fillId="0" borderId="0" xfId="0" applyFont="1" applyAlignment="1">
      <alignment horizontal="center"/>
    </xf>
    <xf numFmtId="0" fontId="0" fillId="0" borderId="32" xfId="0" applyBorder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9" xfId="0" applyBorder="1"/>
    <xf numFmtId="49" fontId="14" fillId="0" borderId="0" xfId="0" applyNumberFormat="1" applyFont="1" applyAlignment="1">
      <alignment horizontal="left"/>
    </xf>
    <xf numFmtId="0" fontId="0" fillId="0" borderId="25" xfId="0" applyBorder="1" applyAlignment="1">
      <alignment horizontal="left"/>
    </xf>
    <xf numFmtId="0" fontId="0" fillId="0" borderId="34" xfId="0" applyBorder="1"/>
    <xf numFmtId="0" fontId="36" fillId="0" borderId="3" xfId="0" applyFont="1" applyBorder="1" applyAlignment="1">
      <alignment horizontal="left"/>
    </xf>
    <xf numFmtId="165" fontId="38" fillId="0" borderId="23" xfId="0" applyNumberFormat="1" applyFont="1" applyBorder="1" applyAlignment="1">
      <alignment horizontal="center"/>
    </xf>
    <xf numFmtId="1" fontId="38" fillId="0" borderId="23" xfId="0" applyNumberFormat="1" applyFont="1" applyBorder="1" applyAlignment="1">
      <alignment horizontal="center"/>
    </xf>
    <xf numFmtId="0" fontId="0" fillId="0" borderId="25" xfId="0" applyBorder="1"/>
    <xf numFmtId="0" fontId="33" fillId="0" borderId="0" xfId="0" applyFont="1"/>
    <xf numFmtId="0" fontId="17" fillId="0" borderId="0" xfId="0" applyFont="1"/>
    <xf numFmtId="0" fontId="7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0" fillId="0" borderId="27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4" xfId="0" applyBorder="1"/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  <xf numFmtId="165" fontId="43" fillId="0" borderId="20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0" applyNumberForma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47" fillId="0" borderId="34" xfId="0" applyFont="1" applyBorder="1"/>
    <xf numFmtId="0" fontId="47" fillId="0" borderId="3" xfId="0" applyFont="1" applyBorder="1"/>
    <xf numFmtId="0" fontId="48" fillId="0" borderId="0" xfId="0" applyFont="1"/>
    <xf numFmtId="0" fontId="0" fillId="0" borderId="18" xfId="0" applyBorder="1"/>
    <xf numFmtId="0" fontId="0" fillId="0" borderId="26" xfId="0" applyBorder="1"/>
    <xf numFmtId="0" fontId="22" fillId="0" borderId="18" xfId="0" applyFont="1" applyBorder="1"/>
    <xf numFmtId="0" fontId="45" fillId="0" borderId="0" xfId="0" applyFont="1"/>
    <xf numFmtId="0" fontId="51" fillId="0" borderId="0" xfId="0" applyFont="1"/>
    <xf numFmtId="0" fontId="52" fillId="0" borderId="0" xfId="0" applyFont="1"/>
    <xf numFmtId="0" fontId="47" fillId="0" borderId="0" xfId="0" applyFont="1"/>
    <xf numFmtId="165" fontId="17" fillId="0" borderId="0" xfId="0" applyNumberFormat="1" applyFont="1"/>
    <xf numFmtId="0" fontId="22" fillId="0" borderId="25" xfId="0" applyFont="1" applyBorder="1"/>
    <xf numFmtId="0" fontId="48" fillId="0" borderId="42" xfId="0" applyFont="1" applyBorder="1"/>
    <xf numFmtId="0" fontId="22" fillId="0" borderId="22" xfId="0" applyFont="1" applyBorder="1"/>
    <xf numFmtId="0" fontId="0" fillId="0" borderId="2" xfId="0" applyBorder="1"/>
    <xf numFmtId="0" fontId="2" fillId="0" borderId="22" xfId="0" applyFont="1" applyBorder="1"/>
    <xf numFmtId="0" fontId="0" fillId="0" borderId="41" xfId="0" applyBorder="1"/>
    <xf numFmtId="0" fontId="48" fillId="0" borderId="2" xfId="0" applyFont="1" applyBorder="1"/>
    <xf numFmtId="0" fontId="48" fillId="0" borderId="26" xfId="0" applyFont="1" applyBorder="1"/>
    <xf numFmtId="0" fontId="47" fillId="0" borderId="10" xfId="0" applyFont="1" applyBorder="1"/>
    <xf numFmtId="0" fontId="54" fillId="0" borderId="0" xfId="0" applyFont="1"/>
    <xf numFmtId="0" fontId="2" fillId="0" borderId="10" xfId="0" applyFont="1" applyBorder="1"/>
    <xf numFmtId="1" fontId="7" fillId="0" borderId="0" xfId="0" applyNumberFormat="1" applyFont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2" fillId="0" borderId="0" xfId="0" applyFont="1"/>
    <xf numFmtId="0" fontId="17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46" xfId="0" applyFont="1" applyBorder="1"/>
    <xf numFmtId="0" fontId="2" fillId="0" borderId="23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58" fillId="6" borderId="45" xfId="0" applyFont="1" applyFill="1" applyBorder="1"/>
    <xf numFmtId="0" fontId="33" fillId="6" borderId="45" xfId="0" applyFont="1" applyFill="1" applyBorder="1"/>
    <xf numFmtId="2" fontId="7" fillId="6" borderId="45" xfId="0" applyNumberFormat="1" applyFont="1" applyFill="1" applyBorder="1"/>
    <xf numFmtId="0" fontId="22" fillId="0" borderId="23" xfId="0" applyFont="1" applyBorder="1" applyAlignment="1">
      <alignment horizontal="left"/>
    </xf>
    <xf numFmtId="0" fontId="68" fillId="0" borderId="0" xfId="0" applyFont="1"/>
    <xf numFmtId="0" fontId="0" fillId="0" borderId="8" xfId="0" applyBorder="1"/>
    <xf numFmtId="0" fontId="28" fillId="0" borderId="24" xfId="0" applyFont="1" applyBorder="1" applyAlignment="1">
      <alignment horizontal="left"/>
    </xf>
    <xf numFmtId="0" fontId="75" fillId="0" borderId="24" xfId="0" applyFont="1" applyBorder="1" applyAlignment="1">
      <alignment horizontal="left"/>
    </xf>
    <xf numFmtId="0" fontId="77" fillId="0" borderId="19" xfId="0" applyFont="1" applyBorder="1"/>
    <xf numFmtId="165" fontId="0" fillId="0" borderId="0" xfId="0" applyNumberFormat="1"/>
    <xf numFmtId="0" fontId="77" fillId="0" borderId="32" xfId="0" applyFont="1" applyBorder="1"/>
    <xf numFmtId="0" fontId="77" fillId="0" borderId="0" xfId="0" applyFont="1"/>
    <xf numFmtId="0" fontId="79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33" fillId="0" borderId="16" xfId="0" applyFont="1" applyBorder="1"/>
    <xf numFmtId="0" fontId="77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6" fillId="0" borderId="0" xfId="0" applyFont="1"/>
    <xf numFmtId="0" fontId="75" fillId="0" borderId="7" xfId="0" applyFont="1" applyBorder="1" applyAlignment="1">
      <alignment horizontal="left"/>
    </xf>
    <xf numFmtId="2" fontId="35" fillId="0" borderId="22" xfId="0" applyNumberFormat="1" applyFont="1" applyBorder="1" applyAlignment="1">
      <alignment horizontal="center" vertical="center"/>
    </xf>
    <xf numFmtId="165" fontId="30" fillId="0" borderId="0" xfId="0" applyNumberFormat="1" applyFont="1"/>
    <xf numFmtId="2" fontId="1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0" fillId="0" borderId="0" xfId="0" applyFont="1"/>
    <xf numFmtId="0" fontId="14" fillId="0" borderId="53" xfId="0" applyFont="1" applyBorder="1" applyAlignment="1">
      <alignment horizontal="left"/>
    </xf>
    <xf numFmtId="0" fontId="43" fillId="0" borderId="52" xfId="0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0" fontId="60" fillId="0" borderId="57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165" fontId="43" fillId="0" borderId="21" xfId="0" applyNumberFormat="1" applyFont="1" applyBorder="1" applyAlignment="1">
      <alignment horizontal="center"/>
    </xf>
    <xf numFmtId="0" fontId="0" fillId="0" borderId="54" xfId="0" applyBorder="1"/>
    <xf numFmtId="0" fontId="2" fillId="0" borderId="54" xfId="0" applyFont="1" applyBorder="1" applyAlignment="1">
      <alignment horizontal="center"/>
    </xf>
    <xf numFmtId="0" fontId="2" fillId="0" borderId="57" xfId="0" applyFont="1" applyBorder="1"/>
    <xf numFmtId="0" fontId="0" fillId="0" borderId="56" xfId="0" applyBorder="1"/>
    <xf numFmtId="0" fontId="47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5" xfId="0" applyBorder="1" applyAlignment="1">
      <alignment horizontal="left"/>
    </xf>
    <xf numFmtId="0" fontId="2" fillId="0" borderId="2" xfId="0" applyFont="1" applyBorder="1" applyAlignment="1">
      <alignment horizontal="center"/>
    </xf>
    <xf numFmtId="166" fontId="88" fillId="0" borderId="0" xfId="0" applyNumberFormat="1" applyFont="1" applyAlignment="1">
      <alignment horizontal="left"/>
    </xf>
    <xf numFmtId="0" fontId="47" fillId="0" borderId="0" xfId="0" applyFont="1" applyAlignment="1">
      <alignment horizontal="center" vertical="center"/>
    </xf>
    <xf numFmtId="166" fontId="0" fillId="0" borderId="0" xfId="0" applyNumberFormat="1"/>
    <xf numFmtId="0" fontId="33" fillId="0" borderId="23" xfId="0" applyFont="1" applyBorder="1" applyAlignment="1">
      <alignment horizontal="left"/>
    </xf>
    <xf numFmtId="0" fontId="33" fillId="6" borderId="21" xfId="0" applyFont="1" applyFill="1" applyBorder="1"/>
    <xf numFmtId="0" fontId="54" fillId="0" borderId="3" xfId="0" applyFont="1" applyBorder="1"/>
    <xf numFmtId="0" fontId="7" fillId="5" borderId="45" xfId="0" applyFont="1" applyFill="1" applyBorder="1"/>
    <xf numFmtId="0" fontId="73" fillId="0" borderId="52" xfId="0" applyFont="1" applyBorder="1" applyAlignment="1">
      <alignment horizontal="center"/>
    </xf>
    <xf numFmtId="2" fontId="73" fillId="0" borderId="48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37" xfId="0" applyBorder="1"/>
    <xf numFmtId="0" fontId="2" fillId="0" borderId="62" xfId="0" applyFont="1" applyBorder="1"/>
    <xf numFmtId="0" fontId="22" fillId="0" borderId="62" xfId="0" applyFont="1" applyBorder="1"/>
    <xf numFmtId="0" fontId="22" fillId="0" borderId="63" xfId="0" applyFont="1" applyBorder="1"/>
    <xf numFmtId="0" fontId="2" fillId="0" borderId="64" xfId="0" applyFont="1" applyBorder="1"/>
    <xf numFmtId="0" fontId="60" fillId="0" borderId="23" xfId="0" applyFont="1" applyBorder="1" applyAlignment="1">
      <alignment horizontal="center"/>
    </xf>
    <xf numFmtId="166" fontId="43" fillId="0" borderId="21" xfId="0" applyNumberFormat="1" applyFont="1" applyBorder="1" applyAlignment="1">
      <alignment horizontal="center"/>
    </xf>
    <xf numFmtId="0" fontId="0" fillId="0" borderId="71" xfId="0" applyBorder="1"/>
    <xf numFmtId="0" fontId="2" fillId="0" borderId="69" xfId="0" applyFont="1" applyBorder="1"/>
    <xf numFmtId="0" fontId="28" fillId="0" borderId="72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2" fillId="0" borderId="63" xfId="0" applyFont="1" applyBorder="1"/>
    <xf numFmtId="0" fontId="53" fillId="0" borderId="0" xfId="0" applyFont="1"/>
    <xf numFmtId="0" fontId="83" fillId="0" borderId="0" xfId="0" applyFont="1"/>
    <xf numFmtId="0" fontId="78" fillId="0" borderId="0" xfId="0" applyFont="1" applyAlignment="1">
      <alignment horizontal="left"/>
    </xf>
    <xf numFmtId="0" fontId="83" fillId="0" borderId="0" xfId="0" applyFont="1" applyAlignment="1">
      <alignment horizontal="right"/>
    </xf>
    <xf numFmtId="0" fontId="22" fillId="0" borderId="64" xfId="0" applyFont="1" applyBorder="1" applyAlignment="1">
      <alignment horizontal="left"/>
    </xf>
    <xf numFmtId="0" fontId="66" fillId="0" borderId="0" xfId="0" applyFont="1"/>
    <xf numFmtId="0" fontId="65" fillId="0" borderId="0" xfId="0" applyFont="1"/>
    <xf numFmtId="0" fontId="46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2" fontId="75" fillId="0" borderId="0" xfId="0" applyNumberFormat="1" applyFont="1" applyAlignment="1">
      <alignment horizontal="left"/>
    </xf>
    <xf numFmtId="0" fontId="58" fillId="0" borderId="0" xfId="0" applyFont="1"/>
    <xf numFmtId="2" fontId="0" fillId="0" borderId="0" xfId="0" applyNumberFormat="1"/>
    <xf numFmtId="2" fontId="2" fillId="0" borderId="0" xfId="0" applyNumberFormat="1" applyFont="1"/>
    <xf numFmtId="1" fontId="0" fillId="0" borderId="0" xfId="0" applyNumberFormat="1"/>
    <xf numFmtId="0" fontId="48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0" fillId="0" borderId="72" xfId="0" applyBorder="1"/>
    <xf numFmtId="167" fontId="14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2" fillId="0" borderId="23" xfId="0" applyFont="1" applyBorder="1"/>
    <xf numFmtId="0" fontId="14" fillId="0" borderId="62" xfId="0" applyFont="1" applyBorder="1" applyAlignment="1">
      <alignment horizontal="center"/>
    </xf>
    <xf numFmtId="0" fontId="54" fillId="0" borderId="0" xfId="0" applyFont="1" applyAlignment="1">
      <alignment horizontal="left"/>
    </xf>
    <xf numFmtId="1" fontId="36" fillId="0" borderId="62" xfId="0" applyNumberFormat="1" applyFont="1" applyBorder="1" applyAlignment="1">
      <alignment horizontal="center"/>
    </xf>
    <xf numFmtId="2" fontId="38" fillId="4" borderId="63" xfId="0" applyNumberFormat="1" applyFont="1" applyFill="1" applyBorder="1" applyAlignment="1">
      <alignment horizontal="center"/>
    </xf>
    <xf numFmtId="2" fontId="38" fillId="4" borderId="64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76" xfId="0" applyBorder="1"/>
    <xf numFmtId="0" fontId="0" fillId="0" borderId="76" xfId="0" applyBorder="1" applyAlignment="1">
      <alignment horizontal="center"/>
    </xf>
    <xf numFmtId="166" fontId="43" fillId="0" borderId="20" xfId="0" applyNumberFormat="1" applyFont="1" applyBorder="1" applyAlignment="1">
      <alignment horizontal="center"/>
    </xf>
    <xf numFmtId="167" fontId="43" fillId="0" borderId="21" xfId="0" applyNumberFormat="1" applyFont="1" applyBorder="1" applyAlignment="1">
      <alignment horizontal="center"/>
    </xf>
    <xf numFmtId="0" fontId="48" fillId="0" borderId="43" xfId="0" applyFont="1" applyBorder="1"/>
    <xf numFmtId="0" fontId="77" fillId="0" borderId="17" xfId="0" applyFont="1" applyBorder="1"/>
    <xf numFmtId="0" fontId="45" fillId="0" borderId="23" xfId="0" applyFont="1" applyBorder="1" applyAlignment="1">
      <alignment horizontal="left"/>
    </xf>
    <xf numFmtId="0" fontId="0" fillId="0" borderId="75" xfId="0" applyBorder="1"/>
    <xf numFmtId="0" fontId="2" fillId="0" borderId="76" xfId="0" applyFont="1" applyBorder="1" applyAlignment="1">
      <alignment horizontal="left"/>
    </xf>
    <xf numFmtId="0" fontId="45" fillId="0" borderId="76" xfId="0" applyFont="1" applyBorder="1" applyAlignment="1">
      <alignment horizontal="left"/>
    </xf>
    <xf numFmtId="0" fontId="28" fillId="0" borderId="78" xfId="0" applyFont="1" applyBorder="1" applyAlignment="1">
      <alignment horizontal="left"/>
    </xf>
    <xf numFmtId="0" fontId="75" fillId="0" borderId="78" xfId="0" applyFont="1" applyBorder="1" applyAlignment="1">
      <alignment horizontal="left"/>
    </xf>
    <xf numFmtId="0" fontId="0" fillId="0" borderId="82" xfId="0" applyBorder="1"/>
    <xf numFmtId="0" fontId="7" fillId="0" borderId="76" xfId="0" applyFont="1" applyBorder="1"/>
    <xf numFmtId="0" fontId="2" fillId="0" borderId="70" xfId="0" applyFont="1" applyBorder="1" applyAlignment="1">
      <alignment horizontal="center"/>
    </xf>
    <xf numFmtId="0" fontId="14" fillId="0" borderId="62" xfId="0" applyFont="1" applyBorder="1"/>
    <xf numFmtId="0" fontId="2" fillId="0" borderId="76" xfId="0" applyFont="1" applyBorder="1"/>
    <xf numFmtId="0" fontId="17" fillId="0" borderId="76" xfId="0" applyFont="1" applyBorder="1" applyAlignment="1">
      <alignment horizontal="center"/>
    </xf>
    <xf numFmtId="2" fontId="35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/>
    </xf>
    <xf numFmtId="0" fontId="17" fillId="0" borderId="67" xfId="0" applyFont="1" applyBorder="1"/>
    <xf numFmtId="0" fontId="14" fillId="0" borderId="67" xfId="0" applyFont="1" applyBorder="1" applyAlignment="1">
      <alignment horizontal="left"/>
    </xf>
    <xf numFmtId="0" fontId="79" fillId="0" borderId="78" xfId="0" applyFont="1" applyBorder="1" applyAlignment="1">
      <alignment horizontal="left"/>
    </xf>
    <xf numFmtId="0" fontId="2" fillId="0" borderId="58" xfId="0" applyFont="1" applyBorder="1"/>
    <xf numFmtId="0" fontId="2" fillId="0" borderId="79" xfId="0" applyFont="1" applyBorder="1"/>
    <xf numFmtId="165" fontId="22" fillId="0" borderId="76" xfId="0" applyNumberFormat="1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48" fillId="0" borderId="9" xfId="0" applyFont="1" applyBorder="1"/>
    <xf numFmtId="0" fontId="77" fillId="0" borderId="14" xfId="0" applyFont="1" applyBorder="1"/>
    <xf numFmtId="0" fontId="14" fillId="0" borderId="80" xfId="0" applyFont="1" applyBorder="1" applyAlignment="1">
      <alignment horizontal="left"/>
    </xf>
    <xf numFmtId="0" fontId="28" fillId="0" borderId="81" xfId="0" applyFont="1" applyBorder="1" applyAlignment="1">
      <alignment horizontal="left"/>
    </xf>
    <xf numFmtId="0" fontId="33" fillId="0" borderId="76" xfId="0" applyFont="1" applyBorder="1" applyAlignment="1">
      <alignment horizontal="left"/>
    </xf>
    <xf numFmtId="0" fontId="77" fillId="0" borderId="78" xfId="0" applyFont="1" applyBorder="1" applyAlignment="1">
      <alignment horizontal="left"/>
    </xf>
    <xf numFmtId="0" fontId="28" fillId="0" borderId="65" xfId="0" applyFont="1" applyBorder="1" applyAlignment="1">
      <alignment horizontal="left"/>
    </xf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5" fillId="0" borderId="18" xfId="0" applyFont="1" applyBorder="1"/>
    <xf numFmtId="0" fontId="8" fillId="0" borderId="15" xfId="0" applyFont="1" applyBorder="1"/>
    <xf numFmtId="0" fontId="50" fillId="0" borderId="15" xfId="0" applyFont="1" applyBorder="1"/>
    <xf numFmtId="0" fontId="77" fillId="0" borderId="24" xfId="0" applyFont="1" applyBorder="1" applyAlignment="1">
      <alignment horizontal="left"/>
    </xf>
    <xf numFmtId="0" fontId="14" fillId="0" borderId="22" xfId="0" applyFont="1" applyBorder="1"/>
    <xf numFmtId="164" fontId="14" fillId="0" borderId="67" xfId="0" applyNumberFormat="1" applyFont="1" applyBorder="1" applyAlignment="1">
      <alignment horizontal="left"/>
    </xf>
    <xf numFmtId="0" fontId="77" fillId="0" borderId="72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74" fillId="0" borderId="78" xfId="0" applyFont="1" applyBorder="1" applyAlignment="1">
      <alignment horizontal="left"/>
    </xf>
    <xf numFmtId="0" fontId="45" fillId="0" borderId="62" xfId="0" applyFont="1" applyBorder="1"/>
    <xf numFmtId="0" fontId="14" fillId="0" borderId="76" xfId="0" applyFont="1" applyBorder="1" applyAlignment="1">
      <alignment horizontal="left"/>
    </xf>
    <xf numFmtId="0" fontId="58" fillId="0" borderId="76" xfId="0" applyFont="1" applyBorder="1" applyAlignment="1">
      <alignment horizontal="left"/>
    </xf>
    <xf numFmtId="0" fontId="78" fillId="0" borderId="78" xfId="0" applyFont="1" applyBorder="1" applyAlignment="1">
      <alignment horizontal="left"/>
    </xf>
    <xf numFmtId="0" fontId="74" fillId="0" borderId="81" xfId="0" applyFont="1" applyBorder="1" applyAlignment="1">
      <alignment horizontal="left"/>
    </xf>
    <xf numFmtId="0" fontId="75" fillId="0" borderId="72" xfId="0" applyFont="1" applyBorder="1" applyAlignment="1">
      <alignment horizontal="left"/>
    </xf>
    <xf numFmtId="0" fontId="22" fillId="0" borderId="76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2" fillId="0" borderId="16" xfId="0" applyFont="1" applyBorder="1"/>
    <xf numFmtId="2" fontId="22" fillId="0" borderId="23" xfId="0" applyNumberFormat="1" applyFont="1" applyBorder="1" applyAlignment="1">
      <alignment horizontal="left"/>
    </xf>
    <xf numFmtId="2" fontId="75" fillId="0" borderId="24" xfId="0" applyNumberFormat="1" applyFont="1" applyBorder="1" applyAlignment="1">
      <alignment horizontal="left"/>
    </xf>
    <xf numFmtId="0" fontId="50" fillId="0" borderId="16" xfId="0" applyFont="1" applyBorder="1"/>
    <xf numFmtId="0" fontId="29" fillId="0" borderId="0" xfId="0" applyFont="1"/>
    <xf numFmtId="0" fontId="2" fillId="0" borderId="80" xfId="0" applyFont="1" applyBorder="1"/>
    <xf numFmtId="0" fontId="2" fillId="0" borderId="77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50" fillId="0" borderId="3" xfId="0" applyFont="1" applyBorder="1"/>
    <xf numFmtId="0" fontId="14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4" fillId="0" borderId="67" xfId="0" applyFont="1" applyBorder="1"/>
    <xf numFmtId="0" fontId="75" fillId="0" borderId="65" xfId="0" applyFont="1" applyBorder="1" applyAlignment="1">
      <alignment horizontal="left"/>
    </xf>
    <xf numFmtId="0" fontId="33" fillId="0" borderId="32" xfId="0" applyFont="1" applyBorder="1"/>
    <xf numFmtId="0" fontId="77" fillId="0" borderId="16" xfId="0" applyFont="1" applyBorder="1"/>
    <xf numFmtId="0" fontId="79" fillId="0" borderId="81" xfId="0" applyFont="1" applyBorder="1" applyAlignment="1">
      <alignment horizontal="left"/>
    </xf>
    <xf numFmtId="0" fontId="79" fillId="0" borderId="65" xfId="0" applyFont="1" applyBorder="1" applyAlignment="1">
      <alignment horizontal="left"/>
    </xf>
    <xf numFmtId="0" fontId="4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64" fillId="0" borderId="0" xfId="0" applyFont="1"/>
    <xf numFmtId="0" fontId="2" fillId="0" borderId="54" xfId="0" applyFont="1" applyBorder="1" applyAlignment="1">
      <alignment horizontal="left"/>
    </xf>
    <xf numFmtId="0" fontId="22" fillId="0" borderId="79" xfId="0" applyFont="1" applyBorder="1"/>
    <xf numFmtId="0" fontId="22" fillId="0" borderId="80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45" fillId="0" borderId="76" xfId="0" applyFont="1" applyBorder="1"/>
    <xf numFmtId="0" fontId="45" fillId="0" borderId="69" xfId="0" applyFont="1" applyBorder="1"/>
    <xf numFmtId="0" fontId="50" fillId="0" borderId="18" xfId="0" applyFont="1" applyBorder="1"/>
    <xf numFmtId="0" fontId="74" fillId="0" borderId="72" xfId="0" applyFont="1" applyBorder="1" applyAlignment="1">
      <alignment horizontal="left"/>
    </xf>
    <xf numFmtId="0" fontId="79" fillId="0" borderId="24" xfId="0" applyFont="1" applyBorder="1" applyAlignment="1">
      <alignment horizontal="left"/>
    </xf>
    <xf numFmtId="0" fontId="28" fillId="0" borderId="76" xfId="0" applyFont="1" applyBorder="1" applyAlignment="1">
      <alignment horizontal="left"/>
    </xf>
    <xf numFmtId="0" fontId="28" fillId="0" borderId="83" xfId="0" applyFont="1" applyBorder="1" applyAlignment="1">
      <alignment horizontal="left"/>
    </xf>
    <xf numFmtId="0" fontId="47" fillId="0" borderId="16" xfId="0" applyFont="1" applyBorder="1"/>
    <xf numFmtId="0" fontId="50" fillId="0" borderId="42" xfId="0" applyFont="1" applyBorder="1"/>
    <xf numFmtId="0" fontId="2" fillId="0" borderId="73" xfId="0" applyFont="1" applyBorder="1"/>
    <xf numFmtId="0" fontId="80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50" fillId="0" borderId="26" xfId="0" applyFont="1" applyBorder="1"/>
    <xf numFmtId="0" fontId="77" fillId="0" borderId="27" xfId="0" applyFont="1" applyBorder="1"/>
    <xf numFmtId="0" fontId="50" fillId="0" borderId="25" xfId="0" applyFont="1" applyBorder="1"/>
    <xf numFmtId="0" fontId="45" fillId="0" borderId="22" xfId="0" applyFont="1" applyBorder="1"/>
    <xf numFmtId="0" fontId="5" fillId="0" borderId="15" xfId="0" applyFont="1" applyBorder="1"/>
    <xf numFmtId="0" fontId="47" fillId="0" borderId="15" xfId="0" applyFont="1" applyBorder="1"/>
    <xf numFmtId="0" fontId="75" fillId="0" borderId="81" xfId="0" applyFont="1" applyBorder="1" applyAlignment="1">
      <alignment horizontal="left"/>
    </xf>
    <xf numFmtId="0" fontId="22" fillId="0" borderId="38" xfId="0" applyFont="1" applyBorder="1"/>
    <xf numFmtId="0" fontId="22" fillId="0" borderId="3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75" fillId="0" borderId="68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0" fillId="0" borderId="77" xfId="0" applyBorder="1"/>
    <xf numFmtId="0" fontId="0" fillId="0" borderId="70" xfId="0" applyBorder="1"/>
    <xf numFmtId="2" fontId="73" fillId="0" borderId="76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50" fillId="0" borderId="10" xfId="0" applyFont="1" applyBorder="1"/>
    <xf numFmtId="0" fontId="77" fillId="0" borderId="10" xfId="0" applyFont="1" applyBorder="1"/>
    <xf numFmtId="0" fontId="33" fillId="0" borderId="76" xfId="0" applyFont="1" applyBorder="1"/>
    <xf numFmtId="0" fontId="0" fillId="0" borderId="74" xfId="0" applyBorder="1"/>
    <xf numFmtId="0" fontId="14" fillId="0" borderId="67" xfId="0" applyFont="1" applyBorder="1" applyAlignment="1">
      <alignment horizontal="center"/>
    </xf>
    <xf numFmtId="0" fontId="50" fillId="0" borderId="2" xfId="0" applyFont="1" applyBorder="1"/>
    <xf numFmtId="0" fontId="22" fillId="0" borderId="69" xfId="0" applyFont="1" applyBorder="1"/>
    <xf numFmtId="0" fontId="0" fillId="0" borderId="55" xfId="0" applyBorder="1"/>
    <xf numFmtId="0" fontId="70" fillId="0" borderId="53" xfId="0" applyFont="1" applyBorder="1" applyAlignment="1">
      <alignment horizontal="left"/>
    </xf>
    <xf numFmtId="0" fontId="4" fillId="0" borderId="0" xfId="0" applyFont="1"/>
    <xf numFmtId="165" fontId="2" fillId="0" borderId="0" xfId="0" applyNumberFormat="1" applyFont="1" applyAlignment="1">
      <alignment horizontal="left"/>
    </xf>
    <xf numFmtId="0" fontId="24" fillId="0" borderId="0" xfId="0" applyFont="1"/>
    <xf numFmtId="0" fontId="60" fillId="0" borderId="0" xfId="0" applyFont="1"/>
    <xf numFmtId="0" fontId="75" fillId="0" borderId="0" xfId="0" applyFont="1"/>
    <xf numFmtId="165" fontId="81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80" fillId="0" borderId="0" xfId="0" applyNumberFormat="1" applyFont="1" applyAlignment="1">
      <alignment horizontal="left"/>
    </xf>
    <xf numFmtId="167" fontId="81" fillId="0" borderId="0" xfId="0" applyNumberFormat="1" applyFont="1" applyAlignment="1">
      <alignment horizontal="left"/>
    </xf>
    <xf numFmtId="0" fontId="57" fillId="0" borderId="0" xfId="0" applyFont="1"/>
    <xf numFmtId="0" fontId="67" fillId="0" borderId="0" xfId="0" applyFont="1"/>
    <xf numFmtId="0" fontId="69" fillId="0" borderId="0" xfId="0" applyFont="1"/>
    <xf numFmtId="0" fontId="56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17" fillId="0" borderId="56" xfId="0" applyFont="1" applyBorder="1"/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1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17" fillId="0" borderId="5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79" xfId="0" applyFont="1" applyBorder="1" applyAlignment="1">
      <alignment horizontal="left"/>
    </xf>
    <xf numFmtId="164" fontId="14" fillId="0" borderId="0" xfId="0" applyNumberFormat="1" applyFont="1"/>
    <xf numFmtId="0" fontId="2" fillId="0" borderId="7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2" fontId="14" fillId="0" borderId="76" xfId="0" applyNumberFormat="1" applyFont="1" applyBorder="1" applyAlignment="1">
      <alignment horizontal="center"/>
    </xf>
    <xf numFmtId="2" fontId="14" fillId="0" borderId="8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71" fillId="0" borderId="0" xfId="0" applyFont="1" applyAlignment="1">
      <alignment horizontal="center"/>
    </xf>
    <xf numFmtId="2" fontId="71" fillId="0" borderId="76" xfId="0" applyNumberFormat="1" applyFont="1" applyBorder="1" applyAlignment="1">
      <alignment horizontal="center"/>
    </xf>
    <xf numFmtId="0" fontId="70" fillId="0" borderId="0" xfId="0" applyFont="1" applyAlignment="1">
      <alignment horizontal="left"/>
    </xf>
    <xf numFmtId="2" fontId="14" fillId="0" borderId="67" xfId="0" applyNumberFormat="1" applyFont="1" applyBorder="1" applyAlignment="1">
      <alignment horizontal="center"/>
    </xf>
    <xf numFmtId="2" fontId="14" fillId="0" borderId="77" xfId="0" applyNumberFormat="1" applyFont="1" applyBorder="1" applyAlignment="1">
      <alignment horizontal="center"/>
    </xf>
    <xf numFmtId="0" fontId="45" fillId="0" borderId="58" xfId="0" applyFont="1" applyBorder="1"/>
    <xf numFmtId="0" fontId="22" fillId="0" borderId="67" xfId="0" applyFont="1" applyBorder="1"/>
    <xf numFmtId="0" fontId="2" fillId="0" borderId="39" xfId="0" applyFont="1" applyBorder="1"/>
    <xf numFmtId="9" fontId="16" fillId="7" borderId="72" xfId="0" applyNumberFormat="1" applyFont="1" applyFill="1" applyBorder="1" applyAlignment="1">
      <alignment horizontal="center"/>
    </xf>
    <xf numFmtId="0" fontId="66" fillId="0" borderId="15" xfId="0" applyFont="1" applyBorder="1"/>
    <xf numFmtId="0" fontId="33" fillId="0" borderId="80" xfId="0" applyFont="1" applyBorder="1"/>
    <xf numFmtId="2" fontId="14" fillId="0" borderId="76" xfId="0" applyNumberFormat="1" applyFont="1" applyBorder="1" applyAlignment="1">
      <alignment horizontal="left"/>
    </xf>
    <xf numFmtId="2" fontId="80" fillId="0" borderId="78" xfId="0" applyNumberFormat="1" applyFont="1" applyBorder="1" applyAlignment="1">
      <alignment horizontal="left"/>
    </xf>
    <xf numFmtId="0" fontId="43" fillId="0" borderId="76" xfId="0" applyFont="1" applyBorder="1" applyAlignment="1">
      <alignment horizontal="left"/>
    </xf>
    <xf numFmtId="0" fontId="8" fillId="0" borderId="16" xfId="0" applyFont="1" applyBorder="1"/>
    <xf numFmtId="0" fontId="33" fillId="0" borderId="80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7" fillId="0" borderId="70" xfId="0" applyFont="1" applyBorder="1" applyAlignment="1">
      <alignment horizontal="center"/>
    </xf>
    <xf numFmtId="0" fontId="64" fillId="0" borderId="62" xfId="0" applyFont="1" applyBorder="1"/>
    <xf numFmtId="0" fontId="47" fillId="0" borderId="15" xfId="0" applyFont="1" applyBorder="1" applyAlignment="1">
      <alignment horizontal="left"/>
    </xf>
    <xf numFmtId="0" fontId="17" fillId="0" borderId="18" xfId="0" applyFont="1" applyBorder="1"/>
    <xf numFmtId="0" fontId="17" fillId="0" borderId="25" xfId="0" applyFont="1" applyBorder="1"/>
    <xf numFmtId="2" fontId="45" fillId="0" borderId="76" xfId="0" applyNumberFormat="1" applyFont="1" applyBorder="1" applyAlignment="1">
      <alignment horizontal="left"/>
    </xf>
    <xf numFmtId="0" fontId="50" fillId="0" borderId="32" xfId="0" applyFont="1" applyBorder="1"/>
    <xf numFmtId="0" fontId="14" fillId="0" borderId="25" xfId="0" applyFont="1" applyBorder="1" applyAlignment="1">
      <alignment horizontal="left"/>
    </xf>
    <xf numFmtId="0" fontId="75" fillId="0" borderId="28" xfId="0" applyFont="1" applyBorder="1" applyAlignment="1">
      <alignment horizontal="left"/>
    </xf>
    <xf numFmtId="0" fontId="45" fillId="0" borderId="79" xfId="0" applyFont="1" applyBorder="1"/>
    <xf numFmtId="0" fontId="33" fillId="0" borderId="54" xfId="0" applyFont="1" applyBorder="1" applyAlignment="1">
      <alignment horizontal="center"/>
    </xf>
    <xf numFmtId="0" fontId="79" fillId="0" borderId="72" xfId="0" applyFont="1" applyBorder="1" applyAlignment="1">
      <alignment horizontal="left"/>
    </xf>
    <xf numFmtId="0" fontId="45" fillId="0" borderId="63" xfId="0" applyFont="1" applyBorder="1"/>
    <xf numFmtId="0" fontId="10" fillId="0" borderId="15" xfId="0" applyFont="1" applyBorder="1"/>
    <xf numFmtId="0" fontId="50" fillId="0" borderId="34" xfId="0" applyFont="1" applyBorder="1"/>
    <xf numFmtId="0" fontId="2" fillId="0" borderId="62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" fillId="0" borderId="25" xfId="0" applyFont="1" applyBorder="1"/>
    <xf numFmtId="0" fontId="22" fillId="0" borderId="33" xfId="0" applyFont="1" applyBorder="1"/>
    <xf numFmtId="0" fontId="33" fillId="0" borderId="70" xfId="0" applyFont="1" applyBorder="1" applyAlignment="1">
      <alignment horizontal="center"/>
    </xf>
    <xf numFmtId="0" fontId="65" fillId="0" borderId="2" xfId="0" applyFont="1" applyBorder="1"/>
    <xf numFmtId="0" fontId="28" fillId="0" borderId="28" xfId="0" applyFont="1" applyBorder="1" applyAlignment="1">
      <alignment horizontal="left"/>
    </xf>
    <xf numFmtId="2" fontId="2" fillId="0" borderId="76" xfId="0" applyNumberFormat="1" applyFont="1" applyBorder="1" applyAlignment="1">
      <alignment horizontal="left"/>
    </xf>
    <xf numFmtId="0" fontId="0" fillId="0" borderId="12" xfId="0" applyBorder="1"/>
    <xf numFmtId="0" fontId="2" fillId="0" borderId="70" xfId="0" applyFont="1" applyBorder="1"/>
    <xf numFmtId="0" fontId="2" fillId="0" borderId="55" xfId="0" applyFont="1" applyBorder="1" applyAlignment="1">
      <alignment horizontal="center"/>
    </xf>
    <xf numFmtId="0" fontId="77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2" fillId="0" borderId="77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165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3" fillId="0" borderId="76" xfId="0" applyFont="1" applyBorder="1" applyAlignment="1">
      <alignment horizontal="left"/>
    </xf>
    <xf numFmtId="0" fontId="38" fillId="0" borderId="22" xfId="0" applyFont="1" applyBorder="1" applyAlignment="1">
      <alignment horizontal="center"/>
    </xf>
    <xf numFmtId="0" fontId="39" fillId="0" borderId="76" xfId="0" applyFont="1" applyBorder="1" applyAlignment="1">
      <alignment horizontal="right"/>
    </xf>
    <xf numFmtId="0" fontId="33" fillId="0" borderId="62" xfId="0" applyFont="1" applyBorder="1"/>
    <xf numFmtId="165" fontId="14" fillId="0" borderId="76" xfId="0" applyNumberFormat="1" applyFont="1" applyBorder="1" applyAlignment="1">
      <alignment horizontal="left"/>
    </xf>
    <xf numFmtId="0" fontId="45" fillId="0" borderId="64" xfId="0" applyFont="1" applyBorder="1" applyAlignment="1">
      <alignment horizontal="left"/>
    </xf>
    <xf numFmtId="0" fontId="74" fillId="0" borderId="65" xfId="0" applyFont="1" applyBorder="1" applyAlignment="1">
      <alignment horizontal="left"/>
    </xf>
    <xf numFmtId="0" fontId="44" fillId="0" borderId="0" xfId="0" applyFont="1"/>
    <xf numFmtId="165" fontId="47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0" fontId="92" fillId="0" borderId="0" xfId="0" applyFont="1"/>
    <xf numFmtId="2" fontId="47" fillId="0" borderId="0" xfId="0" applyNumberFormat="1" applyFont="1" applyAlignment="1">
      <alignment horizontal="center"/>
    </xf>
    <xf numFmtId="0" fontId="94" fillId="0" borderId="0" xfId="0" applyFont="1"/>
    <xf numFmtId="0" fontId="95" fillId="0" borderId="0" xfId="0" applyFont="1"/>
    <xf numFmtId="2" fontId="77" fillId="0" borderId="0" xfId="0" applyNumberFormat="1" applyFont="1" applyAlignment="1">
      <alignment horizontal="center"/>
    </xf>
    <xf numFmtId="49" fontId="14" fillId="0" borderId="0" xfId="0" applyNumberFormat="1" applyFont="1"/>
    <xf numFmtId="166" fontId="47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68" fontId="49" fillId="0" borderId="0" xfId="0" applyNumberFormat="1" applyFont="1"/>
    <xf numFmtId="165" fontId="11" fillId="0" borderId="0" xfId="0" applyNumberFormat="1" applyFont="1"/>
    <xf numFmtId="0" fontId="68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9" fontId="0" fillId="0" borderId="0" xfId="0" applyNumberFormat="1" applyAlignment="1">
      <alignment horizontal="center"/>
    </xf>
    <xf numFmtId="0" fontId="2" fillId="0" borderId="19" xfId="0" applyFont="1" applyBorder="1" applyAlignment="1">
      <alignment horizontal="right"/>
    </xf>
    <xf numFmtId="0" fontId="77" fillId="0" borderId="3" xfId="0" applyFont="1" applyBorder="1"/>
    <xf numFmtId="0" fontId="10" fillId="0" borderId="16" xfId="0" applyFont="1" applyBorder="1"/>
    <xf numFmtId="167" fontId="14" fillId="0" borderId="76" xfId="0" applyNumberFormat="1" applyFont="1" applyBorder="1" applyAlignment="1">
      <alignment horizontal="left"/>
    </xf>
    <xf numFmtId="167" fontId="81" fillId="0" borderId="78" xfId="0" applyNumberFormat="1" applyFont="1" applyBorder="1" applyAlignment="1">
      <alignment horizontal="left"/>
    </xf>
    <xf numFmtId="0" fontId="2" fillId="0" borderId="72" xfId="0" applyFont="1" applyBorder="1"/>
    <xf numFmtId="0" fontId="77" fillId="0" borderId="42" xfId="0" applyFont="1" applyBorder="1"/>
    <xf numFmtId="0" fontId="50" fillId="0" borderId="19" xfId="0" applyFont="1" applyBorder="1"/>
    <xf numFmtId="0" fontId="46" fillId="0" borderId="3" xfId="0" applyFont="1" applyBorder="1"/>
    <xf numFmtId="0" fontId="65" fillId="0" borderId="42" xfId="0" applyFont="1" applyBorder="1"/>
    <xf numFmtId="0" fontId="22" fillId="0" borderId="53" xfId="0" applyFont="1" applyBorder="1"/>
    <xf numFmtId="0" fontId="46" fillId="0" borderId="34" xfId="0" applyFont="1" applyBorder="1" applyAlignment="1">
      <alignment horizontal="left"/>
    </xf>
    <xf numFmtId="2" fontId="33" fillId="0" borderId="0" xfId="0" applyNumberFormat="1" applyFont="1"/>
    <xf numFmtId="0" fontId="17" fillId="0" borderId="53" xfId="0" applyFont="1" applyBorder="1"/>
    <xf numFmtId="0" fontId="14" fillId="0" borderId="53" xfId="0" applyFont="1" applyBorder="1"/>
    <xf numFmtId="0" fontId="28" fillId="0" borderId="17" xfId="0" applyFont="1" applyBorder="1" applyAlignment="1">
      <alignment horizontal="left"/>
    </xf>
    <xf numFmtId="0" fontId="2" fillId="0" borderId="38" xfId="0" applyFont="1" applyBorder="1"/>
    <xf numFmtId="0" fontId="75" fillId="0" borderId="74" xfId="0" applyFont="1" applyBorder="1" applyAlignment="1">
      <alignment horizontal="left"/>
    </xf>
    <xf numFmtId="0" fontId="77" fillId="0" borderId="76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34" xfId="0" applyFont="1" applyBorder="1" applyAlignment="1">
      <alignment horizontal="left"/>
    </xf>
    <xf numFmtId="0" fontId="22" fillId="0" borderId="64" xfId="0" applyFont="1" applyBorder="1" applyAlignment="1">
      <alignment horizontal="center"/>
    </xf>
    <xf numFmtId="0" fontId="69" fillId="0" borderId="62" xfId="0" applyFont="1" applyBorder="1"/>
    <xf numFmtId="0" fontId="77" fillId="0" borderId="9" xfId="0" applyFont="1" applyBorder="1"/>
    <xf numFmtId="168" fontId="80" fillId="0" borderId="0" xfId="0" applyNumberFormat="1" applyFont="1" applyAlignment="1">
      <alignment horizontal="left"/>
    </xf>
    <xf numFmtId="0" fontId="2" fillId="0" borderId="34" xfId="0" applyFont="1" applyBorder="1" applyAlignment="1">
      <alignment horizontal="left"/>
    </xf>
    <xf numFmtId="0" fontId="69" fillId="0" borderId="76" xfId="0" applyFont="1" applyBorder="1" applyAlignment="1">
      <alignment horizontal="left"/>
    </xf>
    <xf numFmtId="0" fontId="46" fillId="0" borderId="19" xfId="0" applyFont="1" applyBorder="1"/>
    <xf numFmtId="0" fontId="45" fillId="0" borderId="80" xfId="0" applyFont="1" applyBorder="1"/>
    <xf numFmtId="0" fontId="58" fillId="0" borderId="80" xfId="0" applyFont="1" applyBorder="1" applyAlignment="1">
      <alignment horizontal="left"/>
    </xf>
    <xf numFmtId="0" fontId="78" fillId="0" borderId="81" xfId="0" applyFont="1" applyBorder="1" applyAlignment="1">
      <alignment horizontal="left"/>
    </xf>
    <xf numFmtId="0" fontId="2" fillId="0" borderId="53" xfId="0" applyFont="1" applyBorder="1"/>
    <xf numFmtId="169" fontId="22" fillId="0" borderId="0" xfId="0" applyNumberFormat="1" applyFont="1"/>
    <xf numFmtId="0" fontId="2" fillId="0" borderId="61" xfId="0" applyFont="1" applyBorder="1"/>
    <xf numFmtId="0" fontId="2" fillId="0" borderId="57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" fillId="0" borderId="30" xfId="0" applyFont="1" applyBorder="1"/>
    <xf numFmtId="0" fontId="10" fillId="0" borderId="18" xfId="0" applyFont="1" applyBorder="1"/>
    <xf numFmtId="0" fontId="2" fillId="0" borderId="6" xfId="0" applyFont="1" applyBorder="1"/>
    <xf numFmtId="0" fontId="2" fillId="0" borderId="52" xfId="0" applyFont="1" applyBorder="1"/>
    <xf numFmtId="0" fontId="14" fillId="0" borderId="69" xfId="0" applyFont="1" applyBorder="1"/>
    <xf numFmtId="0" fontId="103" fillId="0" borderId="37" xfId="0" applyFont="1" applyBorder="1"/>
    <xf numFmtId="0" fontId="33" fillId="0" borderId="3" xfId="0" applyFont="1" applyBorder="1"/>
    <xf numFmtId="0" fontId="33" fillId="0" borderId="19" xfId="0" applyFont="1" applyBorder="1"/>
    <xf numFmtId="0" fontId="33" fillId="0" borderId="10" xfId="0" applyFont="1" applyBorder="1"/>
    <xf numFmtId="0" fontId="33" fillId="0" borderId="14" xfId="0" applyFont="1" applyBorder="1"/>
    <xf numFmtId="2" fontId="81" fillId="0" borderId="78" xfId="0" applyNumberFormat="1" applyFont="1" applyBorder="1" applyAlignment="1">
      <alignment horizontal="left"/>
    </xf>
    <xf numFmtId="0" fontId="46" fillId="0" borderId="10" xfId="0" applyFont="1" applyBorder="1"/>
    <xf numFmtId="0" fontId="46" fillId="0" borderId="14" xfId="0" applyFont="1" applyBorder="1"/>
    <xf numFmtId="0" fontId="0" fillId="0" borderId="53" xfId="0" applyBorder="1"/>
    <xf numFmtId="0" fontId="7" fillId="5" borderId="76" xfId="0" applyFont="1" applyFill="1" applyBorder="1"/>
    <xf numFmtId="0" fontId="50" fillId="0" borderId="61" xfId="0" applyFont="1" applyBorder="1"/>
    <xf numFmtId="0" fontId="66" fillId="0" borderId="16" xfId="0" applyFont="1" applyBorder="1"/>
    <xf numFmtId="168" fontId="0" fillId="0" borderId="0" xfId="0" applyNumberFormat="1"/>
    <xf numFmtId="0" fontId="2" fillId="0" borderId="16" xfId="0" applyFont="1" applyBorder="1" applyAlignment="1">
      <alignment horizontal="right"/>
    </xf>
    <xf numFmtId="0" fontId="48" fillId="0" borderId="3" xfId="0" applyFont="1" applyBorder="1"/>
    <xf numFmtId="0" fontId="48" fillId="0" borderId="19" xfId="0" applyFont="1" applyBorder="1"/>
    <xf numFmtId="0" fontId="48" fillId="0" borderId="10" xfId="0" applyFont="1" applyBorder="1"/>
    <xf numFmtId="0" fontId="48" fillId="0" borderId="14" xfId="0" applyFont="1" applyBorder="1"/>
    <xf numFmtId="0" fontId="66" fillId="0" borderId="0" xfId="0" applyFont="1" applyAlignment="1">
      <alignment horizontal="left"/>
    </xf>
    <xf numFmtId="0" fontId="4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" fontId="36" fillId="0" borderId="38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66" xfId="0" applyFont="1" applyBorder="1" applyAlignment="1">
      <alignment horizontal="right"/>
    </xf>
    <xf numFmtId="0" fontId="47" fillId="0" borderId="2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4" fillId="0" borderId="86" xfId="0" applyFont="1" applyBorder="1" applyAlignment="1">
      <alignment horizontal="right"/>
    </xf>
    <xf numFmtId="2" fontId="36" fillId="0" borderId="26" xfId="0" applyNumberFormat="1" applyFont="1" applyBorder="1" applyAlignment="1">
      <alignment horizontal="center" vertical="center" wrapText="1"/>
    </xf>
    <xf numFmtId="1" fontId="36" fillId="0" borderId="58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2" fillId="0" borderId="66" xfId="0" applyFont="1" applyBorder="1"/>
    <xf numFmtId="1" fontId="36" fillId="0" borderId="66" xfId="0" applyNumberFormat="1" applyFont="1" applyBorder="1" applyAlignment="1">
      <alignment horizontal="center"/>
    </xf>
    <xf numFmtId="0" fontId="14" fillId="0" borderId="66" xfId="0" applyFont="1" applyBorder="1" applyAlignment="1">
      <alignment horizontal="right"/>
    </xf>
    <xf numFmtId="2" fontId="16" fillId="0" borderId="26" xfId="0" applyNumberFormat="1" applyFont="1" applyBorder="1" applyAlignment="1">
      <alignment horizontal="center" vertical="center" wrapText="1"/>
    </xf>
    <xf numFmtId="0" fontId="2" fillId="0" borderId="67" xfId="0" applyFont="1" applyBorder="1"/>
    <xf numFmtId="0" fontId="2" fillId="0" borderId="66" xfId="0" applyFont="1" applyBorder="1" applyAlignment="1">
      <alignment horizontal="center"/>
    </xf>
    <xf numFmtId="1" fontId="36" fillId="0" borderId="67" xfId="0" applyNumberFormat="1" applyFont="1" applyBorder="1" applyAlignment="1">
      <alignment horizontal="center"/>
    </xf>
    <xf numFmtId="0" fontId="2" fillId="0" borderId="85" xfId="0" applyFont="1" applyBorder="1"/>
    <xf numFmtId="0" fontId="14" fillId="0" borderId="85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2" fontId="35" fillId="0" borderId="1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66" xfId="0" applyBorder="1" applyAlignment="1">
      <alignment horizontal="center"/>
    </xf>
    <xf numFmtId="0" fontId="2" fillId="0" borderId="82" xfId="0" applyFont="1" applyBorder="1"/>
    <xf numFmtId="0" fontId="2" fillId="0" borderId="85" xfId="0" applyFont="1" applyBorder="1" applyAlignment="1">
      <alignment horizontal="center"/>
    </xf>
    <xf numFmtId="2" fontId="35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7" fillId="0" borderId="9" xfId="0" applyFont="1" applyBorder="1"/>
    <xf numFmtId="1" fontId="104" fillId="0" borderId="86" xfId="0" applyNumberFormat="1" applyFont="1" applyBorder="1" applyAlignment="1">
      <alignment horizontal="center"/>
    </xf>
    <xf numFmtId="1" fontId="104" fillId="0" borderId="66" xfId="0" applyNumberFormat="1" applyFont="1" applyBorder="1" applyAlignment="1">
      <alignment horizontal="center"/>
    </xf>
    <xf numFmtId="0" fontId="2" fillId="0" borderId="77" xfId="0" applyFont="1" applyBorder="1"/>
    <xf numFmtId="0" fontId="22" fillId="0" borderId="66" xfId="0" applyFont="1" applyBorder="1" applyAlignment="1">
      <alignment horizontal="center"/>
    </xf>
    <xf numFmtId="49" fontId="14" fillId="0" borderId="66" xfId="0" applyNumberFormat="1" applyFont="1" applyBorder="1" applyAlignment="1">
      <alignment horizontal="right"/>
    </xf>
    <xf numFmtId="0" fontId="2" fillId="0" borderId="75" xfId="0" applyFont="1" applyBorder="1"/>
    <xf numFmtId="2" fontId="14" fillId="0" borderId="64" xfId="0" applyNumberFormat="1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1" fontId="36" fillId="0" borderId="86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0" fontId="2" fillId="0" borderId="1" xfId="0" applyFont="1" applyBorder="1"/>
    <xf numFmtId="0" fontId="22" fillId="0" borderId="8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1" xfId="0" applyFont="1" applyBorder="1"/>
    <xf numFmtId="0" fontId="2" fillId="0" borderId="86" xfId="0" applyFont="1" applyBorder="1"/>
    <xf numFmtId="0" fontId="0" fillId="0" borderId="67" xfId="0" applyBorder="1" applyAlignment="1">
      <alignment horizontal="center"/>
    </xf>
    <xf numFmtId="0" fontId="2" fillId="0" borderId="37" xfId="0" applyFont="1" applyBorder="1"/>
    <xf numFmtId="1" fontId="54" fillId="0" borderId="86" xfId="0" applyNumberFormat="1" applyFont="1" applyBorder="1" applyAlignment="1">
      <alignment horizontal="center"/>
    </xf>
    <xf numFmtId="0" fontId="33" fillId="0" borderId="77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1" fillId="0" borderId="18" xfId="0" applyFont="1" applyBorder="1"/>
    <xf numFmtId="0" fontId="36" fillId="0" borderId="19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6" fillId="0" borderId="27" xfId="0" applyFont="1" applyBorder="1" applyAlignment="1">
      <alignment horizontal="right"/>
    </xf>
    <xf numFmtId="0" fontId="50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38" fillId="0" borderId="24" xfId="0" applyNumberFormat="1" applyFont="1" applyBorder="1" applyAlignment="1">
      <alignment horizontal="center"/>
    </xf>
    <xf numFmtId="0" fontId="50" fillId="0" borderId="52" xfId="0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50" fillId="0" borderId="69" xfId="0" applyFont="1" applyBorder="1" applyAlignment="1">
      <alignment horizontal="center" vertical="center"/>
    </xf>
    <xf numFmtId="2" fontId="40" fillId="10" borderId="76" xfId="0" applyNumberFormat="1" applyFont="1" applyFill="1" applyBorder="1" applyAlignment="1">
      <alignment horizontal="center"/>
    </xf>
    <xf numFmtId="2" fontId="36" fillId="0" borderId="0" xfId="0" applyNumberFormat="1" applyFont="1"/>
    <xf numFmtId="0" fontId="36" fillId="0" borderId="77" xfId="0" applyFont="1" applyBorder="1" applyAlignment="1">
      <alignment horizontal="right"/>
    </xf>
    <xf numFmtId="0" fontId="46" fillId="0" borderId="37" xfId="0" applyFont="1" applyBorder="1" applyAlignment="1">
      <alignment horizontal="left"/>
    </xf>
    <xf numFmtId="0" fontId="0" fillId="4" borderId="82" xfId="0" applyFill="1" applyBorder="1"/>
    <xf numFmtId="2" fontId="16" fillId="4" borderId="73" xfId="0" applyNumberFormat="1" applyFont="1" applyFill="1" applyBorder="1" applyAlignment="1">
      <alignment horizontal="center"/>
    </xf>
    <xf numFmtId="0" fontId="41" fillId="4" borderId="75" xfId="0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166" fontId="54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85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2" fillId="0" borderId="14" xfId="0" applyFont="1" applyBorder="1"/>
    <xf numFmtId="1" fontId="36" fillId="0" borderId="57" xfId="0" applyNumberFormat="1" applyFont="1" applyBorder="1" applyAlignment="1">
      <alignment horizontal="center"/>
    </xf>
    <xf numFmtId="1" fontId="36" fillId="0" borderId="59" xfId="0" applyNumberFormat="1" applyFont="1" applyBorder="1" applyAlignment="1">
      <alignment horizontal="center"/>
    </xf>
    <xf numFmtId="2" fontId="38" fillId="4" borderId="65" xfId="0" applyNumberFormat="1" applyFont="1" applyFill="1" applyBorder="1" applyAlignment="1">
      <alignment horizontal="center"/>
    </xf>
    <xf numFmtId="0" fontId="7" fillId="0" borderId="28" xfId="0" applyFont="1" applyBorder="1"/>
    <xf numFmtId="0" fontId="7" fillId="0" borderId="83" xfId="0" applyFont="1" applyBorder="1"/>
    <xf numFmtId="0" fontId="2" fillId="0" borderId="26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29" xfId="0" applyFont="1" applyBorder="1"/>
    <xf numFmtId="0" fontId="0" fillId="0" borderId="33" xfId="0" applyBorder="1" applyAlignment="1">
      <alignment horizontal="center"/>
    </xf>
    <xf numFmtId="0" fontId="7" fillId="0" borderId="23" xfId="0" applyFont="1" applyBorder="1"/>
    <xf numFmtId="0" fontId="2" fillId="0" borderId="44" xfId="0" applyFont="1" applyBorder="1"/>
    <xf numFmtId="0" fontId="0" fillId="0" borderId="82" xfId="0" applyBorder="1" applyAlignment="1">
      <alignment horizontal="center"/>
    </xf>
    <xf numFmtId="0" fontId="7" fillId="0" borderId="64" xfId="0" applyFont="1" applyBorder="1"/>
    <xf numFmtId="164" fontId="14" fillId="0" borderId="66" xfId="0" applyNumberFormat="1" applyFont="1" applyBorder="1" applyAlignment="1">
      <alignment horizontal="right"/>
    </xf>
    <xf numFmtId="0" fontId="102" fillId="0" borderId="53" xfId="0" applyFont="1" applyBorder="1"/>
    <xf numFmtId="0" fontId="77" fillId="0" borderId="15" xfId="0" applyFont="1" applyBorder="1"/>
    <xf numFmtId="0" fontId="2" fillId="0" borderId="34" xfId="0" applyFont="1" applyBorder="1"/>
    <xf numFmtId="0" fontId="2" fillId="0" borderId="10" xfId="0" applyFont="1" applyBorder="1" applyAlignment="1">
      <alignment horizontal="left"/>
    </xf>
    <xf numFmtId="0" fontId="45" fillId="11" borderId="0" xfId="0" applyFont="1" applyFill="1"/>
    <xf numFmtId="0" fontId="0" fillId="11" borderId="0" xfId="0" applyFill="1"/>
    <xf numFmtId="0" fontId="22" fillId="11" borderId="0" xfId="0" applyFont="1" applyFill="1"/>
    <xf numFmtId="0" fontId="2" fillId="11" borderId="0" xfId="0" applyFont="1" applyFill="1"/>
    <xf numFmtId="0" fontId="73" fillId="0" borderId="0" xfId="0" applyFont="1"/>
    <xf numFmtId="168" fontId="22" fillId="0" borderId="0" xfId="0" applyNumberFormat="1" applyFont="1"/>
    <xf numFmtId="167" fontId="77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99" fillId="0" borderId="0" xfId="0" applyFont="1"/>
    <xf numFmtId="0" fontId="57" fillId="0" borderId="0" xfId="0" applyFont="1" applyAlignment="1">
      <alignment horizontal="left"/>
    </xf>
    <xf numFmtId="166" fontId="28" fillId="0" borderId="0" xfId="0" applyNumberFormat="1" applyFont="1" applyAlignment="1">
      <alignment horizontal="left"/>
    </xf>
    <xf numFmtId="2" fontId="81" fillId="0" borderId="0" xfId="0" applyNumberFormat="1" applyFont="1" applyAlignment="1">
      <alignment horizontal="left"/>
    </xf>
    <xf numFmtId="0" fontId="33" fillId="0" borderId="81" xfId="0" applyFont="1" applyBorder="1" applyAlignment="1">
      <alignment horizontal="center"/>
    </xf>
    <xf numFmtId="0" fontId="1" fillId="11" borderId="0" xfId="0" applyFont="1" applyFill="1"/>
    <xf numFmtId="9" fontId="0" fillId="11" borderId="0" xfId="0" applyNumberFormat="1" applyFill="1"/>
    <xf numFmtId="0" fontId="48" fillId="11" borderId="0" xfId="0" applyFont="1" applyFill="1"/>
    <xf numFmtId="0" fontId="2" fillId="11" borderId="0" xfId="0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22" fillId="11" borderId="0" xfId="0" applyFont="1" applyFill="1" applyAlignment="1">
      <alignment horizontal="left"/>
    </xf>
    <xf numFmtId="0" fontId="14" fillId="11" borderId="0" xfId="0" applyFont="1" applyFill="1" applyAlignment="1">
      <alignment horizontal="left"/>
    </xf>
    <xf numFmtId="0" fontId="65" fillId="11" borderId="0" xfId="0" applyFont="1" applyFill="1"/>
    <xf numFmtId="0" fontId="50" fillId="11" borderId="0" xfId="0" applyFont="1" applyFill="1"/>
    <xf numFmtId="0" fontId="33" fillId="11" borderId="0" xfId="0" applyFont="1" applyFill="1"/>
    <xf numFmtId="0" fontId="60" fillId="11" borderId="0" xfId="0" applyFont="1" applyFill="1"/>
    <xf numFmtId="0" fontId="14" fillId="11" borderId="0" xfId="0" applyFont="1" applyFill="1"/>
    <xf numFmtId="0" fontId="66" fillId="11" borderId="0" xfId="0" applyFont="1" applyFill="1"/>
    <xf numFmtId="0" fontId="102" fillId="11" borderId="0" xfId="0" applyFont="1" applyFill="1"/>
    <xf numFmtId="0" fontId="5" fillId="11" borderId="0" xfId="0" applyFont="1" applyFill="1"/>
    <xf numFmtId="0" fontId="64" fillId="11" borderId="0" xfId="0" applyFont="1" applyFill="1"/>
    <xf numFmtId="0" fontId="3" fillId="11" borderId="0" xfId="0" applyFont="1" applyFill="1" applyAlignment="1">
      <alignment horizontal="left"/>
    </xf>
    <xf numFmtId="0" fontId="9" fillId="11" borderId="0" xfId="0" applyFont="1" applyFill="1"/>
    <xf numFmtId="0" fontId="46" fillId="11" borderId="0" xfId="0" applyFont="1" applyFill="1"/>
    <xf numFmtId="0" fontId="10" fillId="11" borderId="0" xfId="0" applyFont="1" applyFill="1"/>
    <xf numFmtId="0" fontId="90" fillId="11" borderId="0" xfId="0" applyFont="1" applyFill="1"/>
    <xf numFmtId="0" fontId="69" fillId="11" borderId="0" xfId="0" applyFont="1" applyFill="1"/>
    <xf numFmtId="0" fontId="57" fillId="11" borderId="0" xfId="0" applyFont="1" applyFill="1"/>
    <xf numFmtId="0" fontId="47" fillId="11" borderId="0" xfId="0" applyFont="1" applyFill="1"/>
    <xf numFmtId="0" fontId="50" fillId="0" borderId="9" xfId="0" applyFont="1" applyBorder="1"/>
    <xf numFmtId="0" fontId="0" fillId="0" borderId="10" xfId="0" applyBorder="1" applyAlignment="1">
      <alignment horizontal="righ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166" fontId="93" fillId="0" borderId="0" xfId="0" applyNumberFormat="1" applyFont="1" applyAlignment="1">
      <alignment horizontal="center"/>
    </xf>
    <xf numFmtId="165" fontId="93" fillId="0" borderId="0" xfId="0" applyNumberFormat="1" applyFont="1" applyAlignment="1">
      <alignment horizontal="center"/>
    </xf>
    <xf numFmtId="2" fontId="93" fillId="0" borderId="0" xfId="0" applyNumberFormat="1" applyFont="1" applyAlignment="1">
      <alignment horizontal="center"/>
    </xf>
    <xf numFmtId="165" fontId="64" fillId="0" borderId="0" xfId="0" applyNumberFormat="1" applyFont="1" applyAlignment="1">
      <alignment horizontal="left"/>
    </xf>
    <xf numFmtId="2" fontId="64" fillId="0" borderId="0" xfId="0" applyNumberFormat="1" applyFont="1" applyAlignment="1">
      <alignment horizontal="left"/>
    </xf>
    <xf numFmtId="1" fontId="64" fillId="0" borderId="0" xfId="0" applyNumberFormat="1" applyFont="1" applyAlignment="1">
      <alignment horizontal="left"/>
    </xf>
    <xf numFmtId="0" fontId="83" fillId="0" borderId="0" xfId="0" applyFont="1" applyAlignment="1">
      <alignment horizontal="left"/>
    </xf>
    <xf numFmtId="2" fontId="84" fillId="0" borderId="0" xfId="0" applyNumberFormat="1" applyFont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2" fontId="21" fillId="0" borderId="0" xfId="0" applyNumberFormat="1" applyFont="1" applyAlignment="1">
      <alignment horizontal="left" vertical="center" wrapText="1"/>
    </xf>
    <xf numFmtId="0" fontId="96" fillId="0" borderId="0" xfId="0" applyFont="1" applyAlignment="1">
      <alignment horizontal="center"/>
    </xf>
    <xf numFmtId="2" fontId="35" fillId="0" borderId="0" xfId="0" applyNumberFormat="1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/>
    </xf>
    <xf numFmtId="166" fontId="76" fillId="0" borderId="0" xfId="0" applyNumberFormat="1" applyFont="1"/>
    <xf numFmtId="2" fontId="76" fillId="0" borderId="0" xfId="0" applyNumberFormat="1" applyFont="1"/>
    <xf numFmtId="166" fontId="30" fillId="0" borderId="0" xfId="0" applyNumberFormat="1" applyFont="1"/>
    <xf numFmtId="0" fontId="10" fillId="0" borderId="0" xfId="0" applyFont="1" applyAlignment="1">
      <alignment horizontal="left"/>
    </xf>
    <xf numFmtId="2" fontId="15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30" fillId="0" borderId="0" xfId="0" applyNumberFormat="1" applyFont="1"/>
    <xf numFmtId="0" fontId="37" fillId="0" borderId="0" xfId="0" applyFont="1" applyAlignment="1">
      <alignment horizontal="center"/>
    </xf>
    <xf numFmtId="0" fontId="25" fillId="0" borderId="0" xfId="0" applyFont="1"/>
    <xf numFmtId="2" fontId="59" fillId="0" borderId="0" xfId="0" applyNumberFormat="1" applyFont="1" applyAlignment="1">
      <alignment horizontal="center"/>
    </xf>
    <xf numFmtId="0" fontId="73" fillId="0" borderId="0" xfId="0" applyFont="1" applyAlignment="1">
      <alignment horizontal="right"/>
    </xf>
    <xf numFmtId="2" fontId="71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" fontId="36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166" fontId="91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66" fontId="97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67" fontId="1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0" fontId="22" fillId="0" borderId="15" xfId="0" applyFont="1" applyBorder="1"/>
    <xf numFmtId="0" fontId="79" fillId="0" borderId="7" xfId="0" applyFont="1" applyBorder="1" applyAlignment="1">
      <alignment horizontal="left"/>
    </xf>
    <xf numFmtId="0" fontId="78" fillId="0" borderId="72" xfId="0" applyFont="1" applyBorder="1" applyAlignment="1">
      <alignment horizontal="left"/>
    </xf>
    <xf numFmtId="0" fontId="80" fillId="0" borderId="78" xfId="0" applyFont="1" applyBorder="1" applyAlignment="1">
      <alignment horizontal="left"/>
    </xf>
    <xf numFmtId="2" fontId="76" fillId="0" borderId="19" xfId="0" applyNumberFormat="1" applyFont="1" applyBorder="1" applyAlignment="1">
      <alignment horizontal="left"/>
    </xf>
    <xf numFmtId="0" fontId="79" fillId="0" borderId="76" xfId="0" applyFont="1" applyBorder="1" applyAlignment="1">
      <alignment horizontal="left"/>
    </xf>
    <xf numFmtId="167" fontId="0" fillId="0" borderId="0" xfId="0" applyNumberFormat="1"/>
    <xf numFmtId="165" fontId="28" fillId="0" borderId="72" xfId="0" applyNumberFormat="1" applyFont="1" applyBorder="1" applyAlignment="1">
      <alignment horizontal="left"/>
    </xf>
    <xf numFmtId="2" fontId="75" fillId="0" borderId="72" xfId="0" applyNumberFormat="1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166" fontId="2" fillId="0" borderId="23" xfId="0" applyNumberFormat="1" applyFont="1" applyBorder="1" applyAlignment="1">
      <alignment horizontal="left"/>
    </xf>
    <xf numFmtId="0" fontId="5" fillId="0" borderId="16" xfId="0" applyFont="1" applyBorder="1"/>
    <xf numFmtId="9" fontId="36" fillId="0" borderId="0" xfId="0" applyNumberFormat="1" applyFont="1" applyAlignment="1">
      <alignment horizontal="center"/>
    </xf>
    <xf numFmtId="0" fontId="22" fillId="0" borderId="36" xfId="0" applyFont="1" applyBorder="1" applyAlignment="1">
      <alignment horizontal="center"/>
    </xf>
    <xf numFmtId="1" fontId="36" fillId="0" borderId="9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0" fontId="1" fillId="0" borderId="10" xfId="0" applyFont="1" applyBorder="1"/>
    <xf numFmtId="0" fontId="108" fillId="10" borderId="6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34" xfId="0" applyFont="1" applyBorder="1"/>
    <xf numFmtId="0" fontId="0" fillId="0" borderId="58" xfId="0" applyBorder="1"/>
    <xf numFmtId="0" fontId="14" fillId="0" borderId="54" xfId="0" applyFont="1" applyBorder="1" applyAlignment="1">
      <alignment horizontal="left"/>
    </xf>
    <xf numFmtId="0" fontId="2" fillId="0" borderId="47" xfId="0" applyFont="1" applyBorder="1"/>
    <xf numFmtId="0" fontId="50" fillId="0" borderId="6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49" fontId="14" fillId="0" borderId="56" xfId="0" applyNumberFormat="1" applyFont="1" applyBorder="1" applyAlignment="1">
      <alignment horizontal="left"/>
    </xf>
    <xf numFmtId="0" fontId="47" fillId="0" borderId="14" xfId="0" applyFont="1" applyBorder="1"/>
    <xf numFmtId="0" fontId="8" fillId="0" borderId="18" xfId="0" applyFont="1" applyBorder="1"/>
    <xf numFmtId="0" fontId="28" fillId="0" borderId="35" xfId="0" applyFont="1" applyBorder="1" applyAlignment="1">
      <alignment horizontal="left"/>
    </xf>
    <xf numFmtId="0" fontId="33" fillId="0" borderId="67" xfId="0" applyFont="1" applyBorder="1"/>
    <xf numFmtId="0" fontId="0" fillId="0" borderId="31" xfId="0" applyBorder="1" applyAlignment="1">
      <alignment horizontal="right"/>
    </xf>
    <xf numFmtId="0" fontId="47" fillId="0" borderId="19" xfId="0" applyFont="1" applyBorder="1"/>
    <xf numFmtId="49" fontId="14" fillId="0" borderId="0" xfId="0" applyNumberFormat="1" applyFont="1" applyAlignment="1">
      <alignment horizontal="center"/>
    </xf>
    <xf numFmtId="0" fontId="0" fillId="0" borderId="85" xfId="0" applyBorder="1" applyAlignment="1">
      <alignment horizontal="center"/>
    </xf>
    <xf numFmtId="2" fontId="36" fillId="0" borderId="0" xfId="0" applyNumberFormat="1" applyFont="1" applyAlignment="1">
      <alignment horizontal="center" vertical="center" wrapText="1"/>
    </xf>
    <xf numFmtId="0" fontId="39" fillId="0" borderId="62" xfId="0" applyFont="1" applyBorder="1" applyAlignment="1">
      <alignment horizontal="right"/>
    </xf>
    <xf numFmtId="0" fontId="39" fillId="0" borderId="78" xfId="0" applyFont="1" applyBorder="1" applyAlignment="1">
      <alignment horizontal="right"/>
    </xf>
    <xf numFmtId="2" fontId="20" fillId="3" borderId="78" xfId="0" applyNumberFormat="1" applyFont="1" applyFill="1" applyBorder="1" applyAlignment="1">
      <alignment horizontal="center"/>
    </xf>
    <xf numFmtId="2" fontId="20" fillId="3" borderId="62" xfId="0" applyNumberFormat="1" applyFont="1" applyFill="1" applyBorder="1" applyAlignment="1">
      <alignment horizontal="center"/>
    </xf>
    <xf numFmtId="2" fontId="20" fillId="3" borderId="76" xfId="0" applyNumberFormat="1" applyFont="1" applyFill="1" applyBorder="1" applyAlignment="1">
      <alignment horizontal="center"/>
    </xf>
    <xf numFmtId="0" fontId="47" fillId="0" borderId="49" xfId="0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1" fontId="10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/>
    </xf>
    <xf numFmtId="49" fontId="22" fillId="0" borderId="66" xfId="0" applyNumberFormat="1" applyFont="1" applyBorder="1" applyAlignment="1">
      <alignment horizontal="center"/>
    </xf>
    <xf numFmtId="166" fontId="18" fillId="0" borderId="35" xfId="0" applyNumberFormat="1" applyFont="1" applyBorder="1" applyAlignment="1">
      <alignment horizontal="center"/>
    </xf>
    <xf numFmtId="0" fontId="14" fillId="0" borderId="54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18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166" fontId="35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right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165" fontId="48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right"/>
    </xf>
    <xf numFmtId="0" fontId="101" fillId="0" borderId="0" xfId="0" applyFont="1"/>
    <xf numFmtId="0" fontId="3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/>
    </xf>
    <xf numFmtId="2" fontId="21" fillId="0" borderId="25" xfId="0" applyNumberFormat="1" applyFont="1" applyBorder="1" applyAlignment="1">
      <alignment horizontal="left"/>
    </xf>
    <xf numFmtId="167" fontId="18" fillId="0" borderId="0" xfId="0" applyNumberFormat="1" applyFont="1" applyAlignment="1">
      <alignment horizontal="center"/>
    </xf>
    <xf numFmtId="166" fontId="48" fillId="0" borderId="0" xfId="0" applyNumberFormat="1" applyFont="1" applyAlignment="1">
      <alignment horizontal="center"/>
    </xf>
    <xf numFmtId="0" fontId="109" fillId="0" borderId="61" xfId="0" applyFont="1" applyBorder="1"/>
    <xf numFmtId="0" fontId="22" fillId="0" borderId="6" xfId="0" applyFont="1" applyBorder="1"/>
    <xf numFmtId="0" fontId="0" fillId="0" borderId="33" xfId="0" applyBorder="1"/>
    <xf numFmtId="0" fontId="65" fillId="0" borderId="16" xfId="0" applyFont="1" applyBorder="1"/>
    <xf numFmtId="0" fontId="45" fillId="0" borderId="75" xfId="0" applyFont="1" applyBorder="1" applyAlignment="1">
      <alignment horizontal="left"/>
    </xf>
    <xf numFmtId="0" fontId="74" fillId="0" borderId="71" xfId="0" applyFont="1" applyBorder="1" applyAlignment="1">
      <alignment horizontal="left"/>
    </xf>
    <xf numFmtId="0" fontId="60" fillId="0" borderId="16" xfId="0" applyFont="1" applyBorder="1"/>
    <xf numFmtId="0" fontId="0" fillId="0" borderId="18" xfId="0" applyBorder="1" applyAlignment="1">
      <alignment horizontal="left"/>
    </xf>
    <xf numFmtId="1" fontId="104" fillId="0" borderId="0" xfId="0" applyNumberFormat="1" applyFont="1" applyAlignment="1">
      <alignment horizontal="center"/>
    </xf>
    <xf numFmtId="0" fontId="7" fillId="0" borderId="70" xfId="0" applyFont="1" applyBorder="1"/>
    <xf numFmtId="165" fontId="4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22" fillId="0" borderId="66" xfId="0" applyNumberFormat="1" applyFont="1" applyBorder="1" applyAlignment="1">
      <alignment horizontal="center"/>
    </xf>
    <xf numFmtId="1" fontId="105" fillId="2" borderId="0" xfId="0" applyNumberFormat="1" applyFont="1" applyFill="1" applyAlignment="1">
      <alignment horizontal="center"/>
    </xf>
    <xf numFmtId="0" fontId="90" fillId="0" borderId="0" xfId="0" applyFont="1" applyAlignment="1">
      <alignment horizontal="center"/>
    </xf>
    <xf numFmtId="1" fontId="89" fillId="0" borderId="0" xfId="0" applyNumberFormat="1" applyFont="1" applyAlignment="1">
      <alignment horizontal="center"/>
    </xf>
    <xf numFmtId="0" fontId="8" fillId="0" borderId="34" xfId="0" applyFont="1" applyBorder="1"/>
    <xf numFmtId="0" fontId="22" fillId="0" borderId="73" xfId="0" applyFont="1" applyBorder="1"/>
    <xf numFmtId="0" fontId="101" fillId="0" borderId="16" xfId="0" applyFont="1" applyBorder="1" applyAlignment="1">
      <alignment horizontal="left"/>
    </xf>
    <xf numFmtId="0" fontId="17" fillId="0" borderId="33" xfId="0" applyFont="1" applyBorder="1"/>
    <xf numFmtId="0" fontId="77" fillId="0" borderId="23" xfId="0" applyFont="1" applyBorder="1" applyAlignment="1">
      <alignment horizontal="left"/>
    </xf>
    <xf numFmtId="0" fontId="65" fillId="0" borderId="38" xfId="0" applyFont="1" applyBorder="1"/>
    <xf numFmtId="2" fontId="22" fillId="0" borderId="36" xfId="0" applyNumberFormat="1" applyFont="1" applyBorder="1" applyAlignment="1">
      <alignment horizontal="left"/>
    </xf>
    <xf numFmtId="2" fontId="75" fillId="0" borderId="35" xfId="0" applyNumberFormat="1" applyFont="1" applyBorder="1" applyAlignment="1">
      <alignment horizontal="left"/>
    </xf>
    <xf numFmtId="2" fontId="76" fillId="0" borderId="0" xfId="0" applyNumberFormat="1" applyFont="1" applyAlignment="1">
      <alignment horizontal="left"/>
    </xf>
    <xf numFmtId="0" fontId="47" fillId="0" borderId="19" xfId="0" applyFont="1" applyBorder="1" applyAlignment="1">
      <alignment horizontal="center"/>
    </xf>
    <xf numFmtId="0" fontId="0" fillId="0" borderId="86" xfId="0" applyBorder="1" applyAlignment="1">
      <alignment horizontal="center"/>
    </xf>
    <xf numFmtId="164" fontId="14" fillId="0" borderId="86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35" fillId="0" borderId="0" xfId="0" applyFont="1" applyAlignment="1">
      <alignment horizontal="left"/>
    </xf>
    <xf numFmtId="2" fontId="0" fillId="5" borderId="72" xfId="0" applyNumberFormat="1" applyFill="1" applyBorder="1"/>
    <xf numFmtId="0" fontId="0" fillId="9" borderId="76" xfId="0" applyFill="1" applyBorder="1"/>
    <xf numFmtId="0" fontId="0" fillId="12" borderId="76" xfId="0" applyFill="1" applyBorder="1"/>
    <xf numFmtId="2" fontId="0" fillId="13" borderId="72" xfId="0" applyNumberFormat="1" applyFill="1" applyBorder="1"/>
    <xf numFmtId="0" fontId="0" fillId="13" borderId="72" xfId="0" applyFill="1" applyBorder="1"/>
    <xf numFmtId="0" fontId="45" fillId="13" borderId="72" xfId="0" applyFont="1" applyFill="1" applyBorder="1"/>
    <xf numFmtId="1" fontId="45" fillId="13" borderId="72" xfId="0" applyNumberFormat="1" applyFont="1" applyFill="1" applyBorder="1"/>
    <xf numFmtId="2" fontId="45" fillId="13" borderId="72" xfId="0" applyNumberFormat="1" applyFont="1" applyFill="1" applyBorder="1"/>
    <xf numFmtId="0" fontId="2" fillId="13" borderId="72" xfId="0" applyFont="1" applyFill="1" applyBorder="1"/>
    <xf numFmtId="2" fontId="2" fillId="13" borderId="72" xfId="0" applyNumberFormat="1" applyFont="1" applyFill="1" applyBorder="1"/>
    <xf numFmtId="0" fontId="46" fillId="0" borderId="76" xfId="0" applyFont="1" applyBorder="1" applyAlignment="1">
      <alignment horizontal="center"/>
    </xf>
    <xf numFmtId="2" fontId="22" fillId="0" borderId="76" xfId="0" applyNumberFormat="1" applyFont="1" applyBorder="1" applyAlignment="1">
      <alignment horizontal="center"/>
    </xf>
    <xf numFmtId="0" fontId="79" fillId="0" borderId="8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22" fillId="0" borderId="30" xfId="0" applyFont="1" applyBorder="1"/>
    <xf numFmtId="0" fontId="46" fillId="9" borderId="76" xfId="0" applyFont="1" applyFill="1" applyBorder="1" applyAlignment="1">
      <alignment horizontal="center"/>
    </xf>
    <xf numFmtId="2" fontId="43" fillId="0" borderId="52" xfId="0" applyNumberFormat="1" applyFont="1" applyBorder="1" applyAlignment="1">
      <alignment horizontal="center"/>
    </xf>
    <xf numFmtId="2" fontId="73" fillId="0" borderId="52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2" fontId="100" fillId="12" borderId="76" xfId="0" applyNumberFormat="1" applyFont="1" applyFill="1" applyBorder="1" applyAlignment="1">
      <alignment horizontal="center"/>
    </xf>
    <xf numFmtId="2" fontId="75" fillId="15" borderId="76" xfId="0" applyNumberFormat="1" applyFont="1" applyFill="1" applyBorder="1" applyAlignment="1">
      <alignment horizontal="center"/>
    </xf>
    <xf numFmtId="2" fontId="75" fillId="8" borderId="76" xfId="0" applyNumberFormat="1" applyFont="1" applyFill="1" applyBorder="1" applyAlignment="1">
      <alignment horizontal="center"/>
    </xf>
    <xf numFmtId="0" fontId="50" fillId="0" borderId="34" xfId="0" applyFont="1" applyBorder="1" applyAlignment="1">
      <alignment horizontal="left"/>
    </xf>
    <xf numFmtId="165" fontId="45" fillId="0" borderId="76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111" fillId="0" borderId="32" xfId="0" applyNumberFormat="1" applyFont="1" applyBorder="1" applyAlignment="1">
      <alignment horizontal="left"/>
    </xf>
    <xf numFmtId="0" fontId="0" fillId="0" borderId="38" xfId="0" applyBorder="1"/>
    <xf numFmtId="0" fontId="28" fillId="0" borderId="54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2" fillId="0" borderId="34" xfId="0" applyFont="1" applyBorder="1"/>
    <xf numFmtId="0" fontId="28" fillId="0" borderId="14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" fillId="0" borderId="2" xfId="0" applyFont="1" applyBorder="1"/>
    <xf numFmtId="0" fontId="0" fillId="0" borderId="9" xfId="0" applyBorder="1"/>
    <xf numFmtId="0" fontId="22" fillId="0" borderId="10" xfId="0" applyFont="1" applyBorder="1"/>
    <xf numFmtId="0" fontId="5" fillId="0" borderId="10" xfId="0" applyFont="1" applyBorder="1"/>
    <xf numFmtId="0" fontId="65" fillId="0" borderId="10" xfId="0" applyFont="1" applyBorder="1"/>
    <xf numFmtId="0" fontId="2" fillId="0" borderId="3" xfId="0" applyFont="1" applyBorder="1"/>
    <xf numFmtId="0" fontId="57" fillId="0" borderId="2" xfId="0" applyFont="1" applyBorder="1" applyAlignment="1">
      <alignment horizontal="left"/>
    </xf>
    <xf numFmtId="1" fontId="22" fillId="0" borderId="80" xfId="0" applyNumberFormat="1" applyFont="1" applyBorder="1" applyAlignment="1">
      <alignment horizontal="left"/>
    </xf>
    <xf numFmtId="0" fontId="2" fillId="0" borderId="26" xfId="0" applyFont="1" applyBorder="1"/>
    <xf numFmtId="0" fontId="66" fillId="0" borderId="34" xfId="0" applyFont="1" applyBorder="1"/>
    <xf numFmtId="0" fontId="110" fillId="0" borderId="16" xfId="0" applyFont="1" applyBorder="1"/>
    <xf numFmtId="0" fontId="98" fillId="0" borderId="18" xfId="0" applyFont="1" applyBorder="1"/>
    <xf numFmtId="0" fontId="1" fillId="0" borderId="19" xfId="0" applyFont="1" applyBorder="1"/>
    <xf numFmtId="2" fontId="79" fillId="0" borderId="7" xfId="0" applyNumberFormat="1" applyFont="1" applyBorder="1" applyAlignment="1">
      <alignment horizontal="left"/>
    </xf>
    <xf numFmtId="0" fontId="80" fillId="0" borderId="72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82" fillId="0" borderId="81" xfId="0" applyFont="1" applyBorder="1" applyAlignment="1">
      <alignment horizontal="left"/>
    </xf>
    <xf numFmtId="0" fontId="35" fillId="0" borderId="69" xfId="0" applyFont="1" applyBorder="1" applyAlignment="1">
      <alignment horizontal="center"/>
    </xf>
    <xf numFmtId="2" fontId="2" fillId="0" borderId="23" xfId="0" applyNumberFormat="1" applyFont="1" applyBorder="1" applyAlignment="1">
      <alignment horizontal="left"/>
    </xf>
    <xf numFmtId="166" fontId="14" fillId="0" borderId="36" xfId="0" applyNumberFormat="1" applyFont="1" applyBorder="1" applyAlignment="1">
      <alignment horizontal="left"/>
    </xf>
    <xf numFmtId="0" fontId="50" fillId="0" borderId="27" xfId="0" applyFont="1" applyBorder="1"/>
    <xf numFmtId="0" fontId="79" fillId="0" borderId="27" xfId="0" applyFont="1" applyBorder="1" applyAlignment="1">
      <alignment horizontal="left"/>
    </xf>
    <xf numFmtId="0" fontId="35" fillId="0" borderId="15" xfId="0" applyFont="1" applyBorder="1"/>
    <xf numFmtId="0" fontId="24" fillId="0" borderId="16" xfId="0" applyFont="1" applyBorder="1"/>
    <xf numFmtId="0" fontId="24" fillId="0" borderId="32" xfId="0" applyFont="1" applyBorder="1"/>
    <xf numFmtId="166" fontId="14" fillId="0" borderId="23" xfId="0" applyNumberFormat="1" applyFont="1" applyBorder="1" applyAlignment="1">
      <alignment horizontal="left"/>
    </xf>
    <xf numFmtId="0" fontId="0" fillId="0" borderId="23" xfId="0" applyBorder="1"/>
    <xf numFmtId="0" fontId="47" fillId="0" borderId="67" xfId="0" applyFont="1" applyBorder="1"/>
    <xf numFmtId="0" fontId="22" fillId="0" borderId="77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75" fillId="0" borderId="54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6" fillId="0" borderId="78" xfId="0" applyFont="1" applyBorder="1" applyAlignment="1">
      <alignment horizontal="left"/>
    </xf>
    <xf numFmtId="0" fontId="77" fillId="0" borderId="54" xfId="0" applyFont="1" applyBorder="1" applyAlignment="1">
      <alignment horizontal="left"/>
    </xf>
    <xf numFmtId="0" fontId="10" fillId="0" borderId="38" xfId="0" applyFont="1" applyBorder="1"/>
    <xf numFmtId="0" fontId="2" fillId="0" borderId="72" xfId="0" applyFont="1" applyBorder="1" applyAlignment="1">
      <alignment horizontal="center"/>
    </xf>
    <xf numFmtId="0" fontId="65" fillId="0" borderId="34" xfId="0" applyFont="1" applyBorder="1"/>
    <xf numFmtId="0" fontId="77" fillId="0" borderId="26" xfId="0" applyFont="1" applyBorder="1"/>
    <xf numFmtId="2" fontId="100" fillId="0" borderId="0" xfId="0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109" fillId="0" borderId="84" xfId="0" applyFont="1" applyBorder="1"/>
    <xf numFmtId="0" fontId="14" fillId="0" borderId="37" xfId="0" applyFont="1" applyBorder="1" applyAlignment="1">
      <alignment horizontal="left"/>
    </xf>
    <xf numFmtId="0" fontId="8" fillId="0" borderId="3" xfId="0" applyFont="1" applyBorder="1"/>
    <xf numFmtId="0" fontId="35" fillId="0" borderId="62" xfId="0" applyFont="1" applyBorder="1" applyAlignment="1">
      <alignment horizontal="left"/>
    </xf>
    <xf numFmtId="0" fontId="46" fillId="0" borderId="42" xfId="0" applyFont="1" applyBorder="1"/>
    <xf numFmtId="0" fontId="80" fillId="0" borderId="76" xfId="0" applyFont="1" applyBorder="1" applyAlignment="1">
      <alignment horizontal="left"/>
    </xf>
    <xf numFmtId="0" fontId="10" fillId="0" borderId="25" xfId="0" applyFont="1" applyBorder="1"/>
    <xf numFmtId="2" fontId="69" fillId="0" borderId="23" xfId="0" applyNumberFormat="1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65" fillId="0" borderId="80" xfId="0" applyFont="1" applyBorder="1"/>
    <xf numFmtId="0" fontId="63" fillId="0" borderId="0" xfId="0" applyFont="1"/>
    <xf numFmtId="0" fontId="62" fillId="0" borderId="0" xfId="0" applyFont="1"/>
    <xf numFmtId="9" fontId="0" fillId="0" borderId="0" xfId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" fontId="62" fillId="0" borderId="0" xfId="0" applyNumberFormat="1" applyFont="1"/>
    <xf numFmtId="2" fontId="60" fillId="0" borderId="0" xfId="0" applyNumberFormat="1" applyFont="1" applyAlignment="1">
      <alignment horizontal="center"/>
    </xf>
    <xf numFmtId="166" fontId="62" fillId="0" borderId="0" xfId="0" applyNumberFormat="1" applyFont="1"/>
    <xf numFmtId="165" fontId="60" fillId="0" borderId="0" xfId="0" applyNumberFormat="1" applyFont="1" applyAlignment="1">
      <alignment horizontal="center"/>
    </xf>
    <xf numFmtId="167" fontId="62" fillId="0" borderId="0" xfId="0" applyNumberFormat="1" applyFont="1"/>
    <xf numFmtId="1" fontId="60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2" fontId="83" fillId="0" borderId="0" xfId="0" applyNumberFormat="1" applyFont="1"/>
    <xf numFmtId="2" fontId="7" fillId="0" borderId="0" xfId="0" applyNumberFormat="1" applyFont="1" applyAlignment="1">
      <alignment horizontal="center"/>
    </xf>
    <xf numFmtId="2" fontId="24" fillId="0" borderId="0" xfId="0" applyNumberFormat="1" applyFont="1"/>
    <xf numFmtId="2" fontId="43" fillId="0" borderId="0" xfId="0" applyNumberFormat="1" applyFont="1" applyAlignment="1">
      <alignment horizontal="center"/>
    </xf>
    <xf numFmtId="2" fontId="113" fillId="0" borderId="0" xfId="0" applyNumberFormat="1" applyFont="1"/>
    <xf numFmtId="168" fontId="62" fillId="0" borderId="0" xfId="0" applyNumberFormat="1" applyFont="1"/>
    <xf numFmtId="2" fontId="7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right"/>
    </xf>
    <xf numFmtId="1" fontId="33" fillId="0" borderId="0" xfId="0" applyNumberFormat="1" applyFont="1" applyAlignment="1">
      <alignment horizontal="left"/>
    </xf>
    <xf numFmtId="166" fontId="43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166" fontId="73" fillId="0" borderId="0" xfId="0" applyNumberFormat="1" applyFont="1" applyAlignment="1">
      <alignment horizontal="center"/>
    </xf>
    <xf numFmtId="0" fontId="43" fillId="0" borderId="57" xfId="0" applyFont="1" applyBorder="1" applyAlignment="1">
      <alignment horizontal="center"/>
    </xf>
    <xf numFmtId="1" fontId="43" fillId="0" borderId="76" xfId="0" applyNumberFormat="1" applyFont="1" applyBorder="1" applyAlignment="1">
      <alignment horizontal="center"/>
    </xf>
    <xf numFmtId="165" fontId="43" fillId="0" borderId="57" xfId="0" applyNumberFormat="1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2" fontId="73" fillId="0" borderId="69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1" fontId="2" fillId="0" borderId="64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65" fillId="0" borderId="15" xfId="0" applyFont="1" applyBorder="1"/>
    <xf numFmtId="0" fontId="14" fillId="0" borderId="62" xfId="0" applyFont="1" applyBorder="1" applyAlignment="1">
      <alignment horizontal="left"/>
    </xf>
    <xf numFmtId="167" fontId="81" fillId="0" borderId="72" xfId="0" applyNumberFormat="1" applyFont="1" applyBorder="1" applyAlignment="1">
      <alignment horizontal="left"/>
    </xf>
    <xf numFmtId="0" fontId="65" fillId="0" borderId="25" xfId="0" applyFont="1" applyBorder="1"/>
    <xf numFmtId="0" fontId="69" fillId="0" borderId="64" xfId="0" applyFont="1" applyBorder="1"/>
    <xf numFmtId="166" fontId="43" fillId="0" borderId="76" xfId="0" applyNumberFormat="1" applyFont="1" applyBorder="1" applyAlignment="1">
      <alignment horizontal="center"/>
    </xf>
    <xf numFmtId="167" fontId="43" fillId="0" borderId="57" xfId="0" applyNumberFormat="1" applyFont="1" applyBorder="1" applyAlignment="1">
      <alignment horizontal="center"/>
    </xf>
    <xf numFmtId="167" fontId="43" fillId="0" borderId="7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75" fillId="0" borderId="76" xfId="0" applyFont="1" applyBorder="1" applyAlignment="1">
      <alignment horizontal="left"/>
    </xf>
    <xf numFmtId="166" fontId="14" fillId="0" borderId="76" xfId="0" applyNumberFormat="1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75" fillId="0" borderId="35" xfId="0" applyFont="1" applyBorder="1" applyAlignment="1">
      <alignment horizontal="left"/>
    </xf>
    <xf numFmtId="0" fontId="74" fillId="0" borderId="68" xfId="0" applyFont="1" applyBorder="1" applyAlignment="1">
      <alignment horizontal="left"/>
    </xf>
    <xf numFmtId="0" fontId="79" fillId="0" borderId="74" xfId="0" applyFont="1" applyBorder="1" applyAlignment="1">
      <alignment horizontal="left"/>
    </xf>
    <xf numFmtId="0" fontId="74" fillId="0" borderId="24" xfId="0" applyFont="1" applyBorder="1" applyAlignment="1">
      <alignment horizontal="left"/>
    </xf>
    <xf numFmtId="0" fontId="74" fillId="0" borderId="27" xfId="0" applyFont="1" applyBorder="1" applyAlignment="1">
      <alignment horizontal="left"/>
    </xf>
    <xf numFmtId="0" fontId="79" fillId="0" borderId="64" xfId="0" applyFont="1" applyBorder="1" applyAlignment="1">
      <alignment horizontal="left"/>
    </xf>
    <xf numFmtId="0" fontId="80" fillId="0" borderId="54" xfId="0" applyFont="1" applyBorder="1" applyAlignment="1">
      <alignment horizontal="left"/>
    </xf>
    <xf numFmtId="0" fontId="60" fillId="0" borderId="86" xfId="0" applyFont="1" applyBorder="1"/>
    <xf numFmtId="0" fontId="14" fillId="0" borderId="27" xfId="0" applyFont="1" applyBorder="1" applyAlignment="1">
      <alignment horizontal="center"/>
    </xf>
    <xf numFmtId="0" fontId="2" fillId="0" borderId="84" xfId="0" applyFont="1" applyBorder="1"/>
    <xf numFmtId="0" fontId="0" fillId="0" borderId="44" xfId="0" applyBorder="1"/>
    <xf numFmtId="0" fontId="33" fillId="0" borderId="64" xfId="0" applyFont="1" applyBorder="1" applyAlignment="1">
      <alignment horizontal="left"/>
    </xf>
    <xf numFmtId="0" fontId="2" fillId="0" borderId="9" xfId="0" applyFont="1" applyBorder="1"/>
    <xf numFmtId="0" fontId="33" fillId="0" borderId="51" xfId="0" applyFont="1" applyBorder="1" applyAlignment="1">
      <alignment horizontal="left"/>
    </xf>
    <xf numFmtId="0" fontId="45" fillId="0" borderId="30" xfId="0" applyFont="1" applyBorder="1"/>
    <xf numFmtId="2" fontId="79" fillId="0" borderId="23" xfId="0" applyNumberFormat="1" applyFont="1" applyBorder="1" applyAlignment="1">
      <alignment horizontal="left"/>
    </xf>
    <xf numFmtId="0" fontId="80" fillId="0" borderId="27" xfId="0" applyFont="1" applyBorder="1" applyAlignment="1">
      <alignment horizontal="left"/>
    </xf>
    <xf numFmtId="0" fontId="33" fillId="0" borderId="66" xfId="0" applyFont="1" applyBorder="1" applyAlignment="1">
      <alignment horizontal="left"/>
    </xf>
    <xf numFmtId="165" fontId="81" fillId="0" borderId="72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72" fillId="0" borderId="66" xfId="0" applyFont="1" applyBorder="1"/>
    <xf numFmtId="0" fontId="60" fillId="0" borderId="15" xfId="0" applyFont="1" applyBorder="1"/>
    <xf numFmtId="0" fontId="115" fillId="0" borderId="63" xfId="0" applyFont="1" applyBorder="1"/>
    <xf numFmtId="0" fontId="45" fillId="0" borderId="10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79" fillId="0" borderId="68" xfId="0" applyFont="1" applyBorder="1" applyAlignment="1">
      <alignment horizontal="left"/>
    </xf>
    <xf numFmtId="0" fontId="0" fillId="0" borderId="47" xfId="0" applyBorder="1" applyAlignment="1">
      <alignment horizontal="right"/>
    </xf>
    <xf numFmtId="0" fontId="74" fillId="0" borderId="7" xfId="0" applyFont="1" applyBorder="1" applyAlignment="1">
      <alignment horizontal="left"/>
    </xf>
    <xf numFmtId="2" fontId="74" fillId="0" borderId="72" xfId="0" applyNumberFormat="1" applyFont="1" applyBorder="1" applyAlignment="1">
      <alignment horizontal="left"/>
    </xf>
    <xf numFmtId="164" fontId="14" fillId="0" borderId="25" xfId="0" applyNumberFormat="1" applyFont="1" applyBorder="1" applyAlignment="1">
      <alignment horizontal="left"/>
    </xf>
    <xf numFmtId="0" fontId="69" fillId="0" borderId="0" xfId="0" applyFont="1" applyAlignment="1">
      <alignment horizontal="left"/>
    </xf>
    <xf numFmtId="0" fontId="77" fillId="0" borderId="64" xfId="0" applyFont="1" applyBorder="1" applyAlignment="1">
      <alignment horizontal="left"/>
    </xf>
    <xf numFmtId="0" fontId="50" fillId="0" borderId="5" xfId="0" applyFont="1" applyBorder="1" applyAlignment="1">
      <alignment horizontal="center" vertical="center"/>
    </xf>
    <xf numFmtId="0" fontId="46" fillId="0" borderId="75" xfId="0" applyFont="1" applyBorder="1" applyAlignment="1">
      <alignment horizontal="left"/>
    </xf>
    <xf numFmtId="2" fontId="36" fillId="0" borderId="3" xfId="0" applyNumberFormat="1" applyFont="1" applyBorder="1" applyAlignment="1">
      <alignment horizontal="center"/>
    </xf>
    <xf numFmtId="9" fontId="36" fillId="0" borderId="3" xfId="0" applyNumberFormat="1" applyFont="1" applyBorder="1" applyAlignment="1">
      <alignment horizontal="center"/>
    </xf>
    <xf numFmtId="2" fontId="36" fillId="0" borderId="10" xfId="0" applyNumberFormat="1" applyFont="1" applyBorder="1"/>
    <xf numFmtId="0" fontId="36" fillId="0" borderId="75" xfId="0" applyFont="1" applyBorder="1" applyAlignment="1">
      <alignment horizontal="right"/>
    </xf>
    <xf numFmtId="2" fontId="40" fillId="16" borderId="76" xfId="0" applyNumberFormat="1" applyFont="1" applyFill="1" applyBorder="1" applyAlignment="1">
      <alignment horizontal="center"/>
    </xf>
    <xf numFmtId="9" fontId="16" fillId="17" borderId="72" xfId="0" applyNumberFormat="1" applyFont="1" applyFill="1" applyBorder="1" applyAlignment="1">
      <alignment horizontal="center"/>
    </xf>
    <xf numFmtId="2" fontId="20" fillId="16" borderId="62" xfId="0" applyNumberFormat="1" applyFont="1" applyFill="1" applyBorder="1" applyAlignment="1">
      <alignment horizontal="center"/>
    </xf>
    <xf numFmtId="2" fontId="20" fillId="16" borderId="76" xfId="0" applyNumberFormat="1" applyFont="1" applyFill="1" applyBorder="1" applyAlignment="1">
      <alignment horizontal="center"/>
    </xf>
    <xf numFmtId="2" fontId="20" fillId="16" borderId="78" xfId="0" applyNumberFormat="1" applyFont="1" applyFill="1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78" xfId="0" applyBorder="1" applyAlignment="1">
      <alignment horizontal="left"/>
    </xf>
    <xf numFmtId="0" fontId="16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0" fillId="2" borderId="75" xfId="0" applyFont="1" applyFill="1" applyBorder="1" applyAlignment="1">
      <alignment horizontal="right"/>
    </xf>
    <xf numFmtId="0" fontId="116" fillId="0" borderId="3" xfId="0" applyFont="1" applyBorder="1" applyAlignment="1">
      <alignment horizontal="left"/>
    </xf>
    <xf numFmtId="2" fontId="35" fillId="0" borderId="2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33" fillId="0" borderId="0" xfId="0" applyNumberFormat="1" applyFont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left"/>
    </xf>
    <xf numFmtId="0" fontId="47" fillId="0" borderId="32" xfId="0" applyFont="1" applyBorder="1"/>
    <xf numFmtId="0" fontId="2" fillId="0" borderId="66" xfId="0" applyFont="1" applyBorder="1" applyAlignment="1">
      <alignment vertical="center"/>
    </xf>
    <xf numFmtId="0" fontId="117" fillId="0" borderId="2" xfId="0" applyFont="1" applyBorder="1" applyAlignment="1">
      <alignment horizontal="left"/>
    </xf>
    <xf numFmtId="1" fontId="36" fillId="0" borderId="18" xfId="0" applyNumberFormat="1" applyFont="1" applyBorder="1" applyAlignment="1">
      <alignment horizontal="center"/>
    </xf>
    <xf numFmtId="1" fontId="54" fillId="0" borderId="53" xfId="0" applyNumberFormat="1" applyFont="1" applyBorder="1" applyAlignment="1">
      <alignment horizontal="center"/>
    </xf>
    <xf numFmtId="1" fontId="36" fillId="0" borderId="26" xfId="0" applyNumberFormat="1" applyFont="1" applyBorder="1" applyAlignment="1">
      <alignment horizontal="center"/>
    </xf>
    <xf numFmtId="0" fontId="69" fillId="0" borderId="22" xfId="0" applyFont="1" applyBorder="1"/>
    <xf numFmtId="0" fontId="33" fillId="0" borderId="86" xfId="0" applyFont="1" applyBorder="1"/>
    <xf numFmtId="0" fontId="14" fillId="0" borderId="86" xfId="0" applyFont="1" applyBorder="1" applyAlignment="1">
      <alignment horizontal="center"/>
    </xf>
    <xf numFmtId="0" fontId="0" fillId="0" borderId="49" xfId="0" applyBorder="1" applyAlignment="1">
      <alignment horizontal="right"/>
    </xf>
    <xf numFmtId="0" fontId="33" fillId="0" borderId="69" xfId="0" applyFont="1" applyBorder="1"/>
    <xf numFmtId="0" fontId="90" fillId="0" borderId="25" xfId="0" applyFont="1" applyBorder="1" applyAlignment="1">
      <alignment horizontal="left"/>
    </xf>
    <xf numFmtId="0" fontId="69" fillId="0" borderId="27" xfId="0" applyFont="1" applyBorder="1" applyAlignment="1">
      <alignment horizontal="left"/>
    </xf>
    <xf numFmtId="2" fontId="75" fillId="15" borderId="72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62" xfId="0" applyFont="1" applyBorder="1"/>
    <xf numFmtId="0" fontId="7" fillId="0" borderId="63" xfId="0" applyFont="1" applyBorder="1"/>
    <xf numFmtId="1" fontId="22" fillId="0" borderId="76" xfId="0" applyNumberFormat="1" applyFont="1" applyBorder="1" applyAlignment="1">
      <alignment horizontal="left"/>
    </xf>
    <xf numFmtId="165" fontId="74" fillId="0" borderId="78" xfId="0" applyNumberFormat="1" applyFont="1" applyBorder="1" applyAlignment="1">
      <alignment horizontal="left"/>
    </xf>
    <xf numFmtId="0" fontId="45" fillId="0" borderId="57" xfId="0" applyFont="1" applyBorder="1" applyAlignment="1">
      <alignment horizontal="left"/>
    </xf>
    <xf numFmtId="0" fontId="74" fillId="0" borderId="59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54" fillId="0" borderId="16" xfId="0" applyFont="1" applyBorder="1"/>
    <xf numFmtId="0" fontId="14" fillId="0" borderId="23" xfId="0" applyFont="1" applyBorder="1" applyAlignment="1">
      <alignment horizontal="left"/>
    </xf>
    <xf numFmtId="0" fontId="80" fillId="0" borderId="24" xfId="0" applyFont="1" applyBorder="1" applyAlignment="1">
      <alignment horizontal="left"/>
    </xf>
    <xf numFmtId="0" fontId="65" fillId="0" borderId="26" xfId="0" applyFont="1" applyBorder="1"/>
    <xf numFmtId="0" fontId="22" fillId="0" borderId="62" xfId="0" applyFont="1" applyBorder="1" applyAlignment="1">
      <alignment horizontal="left"/>
    </xf>
    <xf numFmtId="0" fontId="2" fillId="0" borderId="68" xfId="0" applyFont="1" applyBorder="1"/>
    <xf numFmtId="165" fontId="2" fillId="0" borderId="76" xfId="0" applyNumberFormat="1" applyFont="1" applyBorder="1" applyAlignment="1">
      <alignment horizontal="left"/>
    </xf>
    <xf numFmtId="2" fontId="118" fillId="0" borderId="80" xfId="0" applyNumberFormat="1" applyFont="1" applyBorder="1" applyAlignment="1">
      <alignment horizontal="left"/>
    </xf>
    <xf numFmtId="2" fontId="75" fillId="0" borderId="74" xfId="0" applyNumberFormat="1" applyFont="1" applyBorder="1" applyAlignment="1">
      <alignment horizontal="left"/>
    </xf>
    <xf numFmtId="2" fontId="22" fillId="0" borderId="76" xfId="0" applyNumberFormat="1" applyFont="1" applyBorder="1" applyAlignment="1">
      <alignment horizontal="left"/>
    </xf>
    <xf numFmtId="2" fontId="22" fillId="0" borderId="80" xfId="0" applyNumberFormat="1" applyFont="1" applyBorder="1" applyAlignment="1">
      <alignment horizontal="left"/>
    </xf>
    <xf numFmtId="0" fontId="8" fillId="0" borderId="2" xfId="0" applyFont="1" applyBorder="1"/>
    <xf numFmtId="0" fontId="8" fillId="0" borderId="9" xfId="0" applyFont="1" applyBorder="1"/>
    <xf numFmtId="0" fontId="50" fillId="0" borderId="14" xfId="0" applyFont="1" applyBorder="1"/>
    <xf numFmtId="0" fontId="2" fillId="0" borderId="47" xfId="0" applyFont="1" applyBorder="1" applyAlignment="1">
      <alignment horizontal="left"/>
    </xf>
    <xf numFmtId="0" fontId="119" fillId="0" borderId="7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4" fillId="0" borderId="79" xfId="0" applyFont="1" applyBorder="1"/>
    <xf numFmtId="0" fontId="46" fillId="0" borderId="61" xfId="0" applyFont="1" applyBorder="1" applyAlignment="1">
      <alignment horizontal="left"/>
    </xf>
    <xf numFmtId="168" fontId="17" fillId="0" borderId="57" xfId="0" applyNumberFormat="1" applyFont="1" applyBorder="1" applyAlignment="1">
      <alignment horizontal="left"/>
    </xf>
    <xf numFmtId="168" fontId="119" fillId="0" borderId="59" xfId="0" applyNumberFormat="1" applyFont="1" applyBorder="1" applyAlignment="1">
      <alignment horizontal="left"/>
    </xf>
    <xf numFmtId="0" fontId="77" fillId="0" borderId="81" xfId="0" applyFont="1" applyBorder="1" applyAlignment="1">
      <alignment horizontal="left"/>
    </xf>
    <xf numFmtId="0" fontId="77" fillId="0" borderId="74" xfId="0" applyFont="1" applyBorder="1" applyAlignment="1">
      <alignment horizontal="left"/>
    </xf>
    <xf numFmtId="0" fontId="17" fillId="0" borderId="76" xfId="0" applyFont="1" applyBorder="1" applyAlignment="1">
      <alignment horizontal="left"/>
    </xf>
    <xf numFmtId="166" fontId="75" fillId="0" borderId="81" xfId="0" applyNumberFormat="1" applyFont="1" applyBorder="1" applyAlignment="1">
      <alignment horizontal="left"/>
    </xf>
    <xf numFmtId="166" fontId="2" fillId="0" borderId="0" xfId="0" applyNumberFormat="1" applyFont="1"/>
    <xf numFmtId="165" fontId="28" fillId="0" borderId="24" xfId="0" applyNumberFormat="1" applyFont="1" applyBorder="1" applyAlignment="1">
      <alignment horizontal="left"/>
    </xf>
    <xf numFmtId="2" fontId="79" fillId="0" borderId="0" xfId="0" applyNumberFormat="1" applyFont="1" applyAlignment="1">
      <alignment horizontal="left"/>
    </xf>
    <xf numFmtId="0" fontId="77" fillId="0" borderId="2" xfId="0" applyFont="1" applyBorder="1"/>
    <xf numFmtId="2" fontId="58" fillId="0" borderId="0" xfId="0" applyNumberFormat="1" applyFont="1" applyAlignment="1">
      <alignment horizontal="left"/>
    </xf>
    <xf numFmtId="0" fontId="77" fillId="0" borderId="65" xfId="0" applyFont="1" applyBorder="1" applyAlignment="1">
      <alignment horizontal="left"/>
    </xf>
    <xf numFmtId="0" fontId="45" fillId="0" borderId="80" xfId="0" applyFont="1" applyBorder="1" applyAlignment="1">
      <alignment horizontal="left"/>
    </xf>
    <xf numFmtId="0" fontId="33" fillId="0" borderId="67" xfId="0" applyFont="1" applyBorder="1" applyAlignment="1">
      <alignment horizontal="left"/>
    </xf>
    <xf numFmtId="0" fontId="22" fillId="0" borderId="26" xfId="0" applyFont="1" applyBorder="1" applyAlignment="1">
      <alignment horizontal="right"/>
    </xf>
    <xf numFmtId="0" fontId="47" fillId="0" borderId="18" xfId="0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110" fillId="0" borderId="10" xfId="0" applyFont="1" applyBorder="1"/>
    <xf numFmtId="2" fontId="22" fillId="0" borderId="43" xfId="0" applyNumberFormat="1" applyFont="1" applyBorder="1" applyAlignment="1">
      <alignment horizontal="left"/>
    </xf>
    <xf numFmtId="2" fontId="75" fillId="0" borderId="17" xfId="0" applyNumberFormat="1" applyFont="1" applyBorder="1" applyAlignment="1">
      <alignment horizontal="left"/>
    </xf>
    <xf numFmtId="0" fontId="14" fillId="0" borderId="30" xfId="0" applyFont="1" applyBorder="1"/>
    <xf numFmtId="0" fontId="0" fillId="0" borderId="26" xfId="0" applyBorder="1" applyAlignment="1">
      <alignment horizontal="center"/>
    </xf>
    <xf numFmtId="0" fontId="0" fillId="0" borderId="36" xfId="0" applyBorder="1"/>
    <xf numFmtId="0" fontId="0" fillId="0" borderId="28" xfId="0" applyBorder="1"/>
    <xf numFmtId="0" fontId="33" fillId="0" borderId="57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7" xfId="0" applyFont="1" applyBorder="1"/>
    <xf numFmtId="0" fontId="7" fillId="0" borderId="72" xfId="0" applyFont="1" applyBorder="1"/>
    <xf numFmtId="0" fontId="7" fillId="0" borderId="68" xfId="0" applyFont="1" applyBorder="1"/>
    <xf numFmtId="0" fontId="60" fillId="0" borderId="22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84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6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73" fillId="0" borderId="58" xfId="0" applyFont="1" applyBorder="1" applyAlignment="1">
      <alignment horizontal="center"/>
    </xf>
    <xf numFmtId="2" fontId="43" fillId="0" borderId="76" xfId="0" applyNumberFormat="1" applyFont="1" applyBorder="1" applyAlignment="1">
      <alignment horizontal="center"/>
    </xf>
    <xf numFmtId="2" fontId="73" fillId="0" borderId="58" xfId="0" applyNumberFormat="1" applyFont="1" applyBorder="1" applyAlignment="1">
      <alignment horizontal="center"/>
    </xf>
    <xf numFmtId="165" fontId="43" fillId="0" borderId="76" xfId="0" applyNumberFormat="1" applyFont="1" applyBorder="1" applyAlignment="1">
      <alignment horizontal="center"/>
    </xf>
    <xf numFmtId="2" fontId="73" fillId="0" borderId="62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5" fillId="0" borderId="34" xfId="0" applyFont="1" applyBorder="1"/>
    <xf numFmtId="0" fontId="0" fillId="0" borderId="10" xfId="0" applyBorder="1" applyAlignment="1">
      <alignment horizontal="left"/>
    </xf>
    <xf numFmtId="0" fontId="4" fillId="0" borderId="34" xfId="0" applyFont="1" applyBorder="1"/>
    <xf numFmtId="0" fontId="0" fillId="0" borderId="57" xfId="0" applyBorder="1" applyAlignment="1">
      <alignment horizontal="center"/>
    </xf>
    <xf numFmtId="0" fontId="90" fillId="0" borderId="53" xfId="0" applyFont="1" applyBorder="1" applyAlignment="1">
      <alignment horizontal="left"/>
    </xf>
    <xf numFmtId="0" fontId="73" fillId="0" borderId="62" xfId="0" applyFont="1" applyBorder="1"/>
    <xf numFmtId="0" fontId="122" fillId="0" borderId="18" xfId="0" applyFont="1" applyBorder="1"/>
    <xf numFmtId="166" fontId="22" fillId="0" borderId="0" xfId="0" applyNumberFormat="1" applyFont="1"/>
    <xf numFmtId="165" fontId="79" fillId="0" borderId="72" xfId="0" applyNumberFormat="1" applyFont="1" applyBorder="1" applyAlignment="1">
      <alignment horizontal="left"/>
    </xf>
    <xf numFmtId="0" fontId="66" fillId="0" borderId="25" xfId="0" applyFont="1" applyBorder="1"/>
    <xf numFmtId="0" fontId="0" fillId="0" borderId="75" xfId="0" applyBorder="1" applyAlignment="1">
      <alignment horizontal="right"/>
    </xf>
    <xf numFmtId="0" fontId="123" fillId="0" borderId="71" xfId="0" applyFont="1" applyBorder="1" applyAlignment="1">
      <alignment horizontal="center"/>
    </xf>
    <xf numFmtId="0" fontId="124" fillId="0" borderId="25" xfId="0" applyFont="1" applyBorder="1" applyAlignment="1">
      <alignment horizontal="left"/>
    </xf>
    <xf numFmtId="0" fontId="124" fillId="0" borderId="82" xfId="0" applyFont="1" applyBorder="1" applyAlignment="1">
      <alignment horizontal="left"/>
    </xf>
    <xf numFmtId="0" fontId="123" fillId="0" borderId="0" xfId="0" applyFont="1" applyAlignment="1">
      <alignment horizontal="center"/>
    </xf>
    <xf numFmtId="0" fontId="124" fillId="0" borderId="34" xfId="0" applyFont="1" applyBorder="1" applyAlignment="1">
      <alignment horizontal="left"/>
    </xf>
    <xf numFmtId="0" fontId="123" fillId="0" borderId="14" xfId="0" applyFont="1" applyBorder="1" applyAlignment="1">
      <alignment horizontal="center"/>
    </xf>
    <xf numFmtId="0" fontId="0" fillId="0" borderId="80" xfId="0" applyBorder="1" applyAlignment="1">
      <alignment horizontal="right"/>
    </xf>
    <xf numFmtId="0" fontId="0" fillId="0" borderId="34" xfId="0" applyBorder="1" applyAlignment="1">
      <alignment horizontal="right"/>
    </xf>
    <xf numFmtId="0" fontId="69" fillId="0" borderId="79" xfId="0" applyFont="1" applyBorder="1"/>
    <xf numFmtId="0" fontId="126" fillId="0" borderId="15" xfId="0" applyFont="1" applyBorder="1"/>
    <xf numFmtId="0" fontId="79" fillId="0" borderId="70" xfId="0" applyFont="1" applyBorder="1" applyAlignment="1">
      <alignment horizontal="center"/>
    </xf>
    <xf numFmtId="0" fontId="65" fillId="0" borderId="61" xfId="0" applyFont="1" applyBorder="1"/>
    <xf numFmtId="0" fontId="127" fillId="0" borderId="76" xfId="0" applyFont="1" applyBorder="1"/>
    <xf numFmtId="0" fontId="0" fillId="0" borderId="78" xfId="0" applyBorder="1"/>
    <xf numFmtId="0" fontId="79" fillId="0" borderId="54" xfId="0" applyFont="1" applyBorder="1" applyAlignment="1">
      <alignment horizontal="left"/>
    </xf>
    <xf numFmtId="0" fontId="0" fillId="0" borderId="68" xfId="0" applyBorder="1"/>
    <xf numFmtId="0" fontId="0" fillId="0" borderId="40" xfId="0" applyBorder="1" applyAlignment="1">
      <alignment horizontal="right"/>
    </xf>
    <xf numFmtId="0" fontId="0" fillId="0" borderId="52" xfId="0" applyBorder="1" applyAlignment="1">
      <alignment horizontal="right"/>
    </xf>
    <xf numFmtId="0" fontId="14" fillId="0" borderId="39" xfId="0" applyFont="1" applyBorder="1" applyAlignment="1">
      <alignment horizontal="left"/>
    </xf>
    <xf numFmtId="0" fontId="0" fillId="0" borderId="39" xfId="0" applyBorder="1"/>
    <xf numFmtId="167" fontId="22" fillId="0" borderId="0" xfId="0" applyNumberFormat="1" applyFont="1"/>
    <xf numFmtId="0" fontId="74" fillId="0" borderId="74" xfId="0" applyFont="1" applyBorder="1" applyAlignment="1">
      <alignment horizontal="left"/>
    </xf>
    <xf numFmtId="0" fontId="65" fillId="0" borderId="86" xfId="0" applyFont="1" applyBorder="1"/>
    <xf numFmtId="0" fontId="47" fillId="0" borderId="61" xfId="0" applyFont="1" applyBorder="1" applyAlignment="1">
      <alignment horizontal="left"/>
    </xf>
    <xf numFmtId="0" fontId="45" fillId="0" borderId="38" xfId="0" applyFont="1" applyBorder="1"/>
    <xf numFmtId="0" fontId="58" fillId="0" borderId="36" xfId="0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0" fontId="33" fillId="0" borderId="75" xfId="0" applyFont="1" applyBorder="1" applyAlignment="1">
      <alignment horizontal="left"/>
    </xf>
    <xf numFmtId="0" fontId="77" fillId="0" borderId="71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75" fillId="0" borderId="59" xfId="0" applyFont="1" applyBorder="1" applyAlignment="1">
      <alignment horizontal="left"/>
    </xf>
    <xf numFmtId="0" fontId="4" fillId="0" borderId="15" xfId="0" applyFont="1" applyBorder="1"/>
    <xf numFmtId="0" fontId="7" fillId="0" borderId="80" xfId="0" applyFont="1" applyBorder="1" applyAlignment="1">
      <alignment horizontal="left"/>
    </xf>
    <xf numFmtId="0" fontId="76" fillId="0" borderId="81" xfId="0" applyFont="1" applyBorder="1" applyAlignment="1">
      <alignment horizontal="left"/>
    </xf>
    <xf numFmtId="0" fontId="123" fillId="0" borderId="10" xfId="0" applyFont="1" applyBorder="1" applyAlignment="1">
      <alignment horizontal="center"/>
    </xf>
    <xf numFmtId="0" fontId="14" fillId="0" borderId="25" xfId="0" applyFont="1" applyBorder="1"/>
    <xf numFmtId="0" fontId="54" fillId="0" borderId="19" xfId="0" applyFont="1" applyBorder="1"/>
    <xf numFmtId="0" fontId="54" fillId="0" borderId="10" xfId="0" applyFont="1" applyBorder="1"/>
    <xf numFmtId="0" fontId="54" fillId="0" borderId="14" xfId="0" applyFont="1" applyBorder="1"/>
    <xf numFmtId="0" fontId="22" fillId="0" borderId="7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5" fillId="0" borderId="3" xfId="0" applyFont="1" applyBorder="1"/>
    <xf numFmtId="0" fontId="76" fillId="0" borderId="72" xfId="0" applyFont="1" applyBorder="1" applyAlignment="1">
      <alignment horizontal="left"/>
    </xf>
    <xf numFmtId="49" fontId="14" fillId="0" borderId="67" xfId="0" applyNumberFormat="1" applyFont="1" applyBorder="1" applyAlignment="1">
      <alignment horizontal="left"/>
    </xf>
    <xf numFmtId="0" fontId="2" fillId="0" borderId="33" xfId="0" applyFont="1" applyBorder="1"/>
    <xf numFmtId="0" fontId="123" fillId="0" borderId="75" xfId="0" applyFont="1" applyBorder="1" applyAlignment="1">
      <alignment horizontal="center"/>
    </xf>
    <xf numFmtId="0" fontId="0" fillId="0" borderId="69" xfId="0" applyBorder="1"/>
    <xf numFmtId="164" fontId="14" fillId="0" borderId="67" xfId="0" applyNumberFormat="1" applyFont="1" applyBorder="1" applyAlignment="1">
      <alignment horizontal="right"/>
    </xf>
    <xf numFmtId="0" fontId="66" fillId="0" borderId="18" xfId="0" applyFont="1" applyBorder="1"/>
    <xf numFmtId="0" fontId="45" fillId="0" borderId="25" xfId="0" applyFont="1" applyBorder="1"/>
    <xf numFmtId="0" fontId="75" fillId="0" borderId="27" xfId="0" applyFont="1" applyBorder="1" applyAlignment="1">
      <alignment horizontal="left"/>
    </xf>
    <xf numFmtId="0" fontId="33" fillId="0" borderId="77" xfId="0" applyFont="1" applyBorder="1" applyAlignment="1">
      <alignment horizontal="center"/>
    </xf>
    <xf numFmtId="0" fontId="60" fillId="0" borderId="25" xfId="0" applyFont="1" applyBorder="1"/>
    <xf numFmtId="0" fontId="55" fillId="0" borderId="79" xfId="0" applyFont="1" applyBorder="1" applyAlignment="1">
      <alignment horizontal="right"/>
    </xf>
    <xf numFmtId="0" fontId="14" fillId="0" borderId="56" xfId="0" applyFont="1" applyBorder="1"/>
    <xf numFmtId="0" fontId="2" fillId="0" borderId="40" xfId="0" applyFont="1" applyBorder="1"/>
    <xf numFmtId="0" fontId="22" fillId="0" borderId="37" xfId="0" applyFont="1" applyBorder="1"/>
    <xf numFmtId="2" fontId="75" fillId="0" borderId="78" xfId="0" applyNumberFormat="1" applyFont="1" applyBorder="1" applyAlignment="1">
      <alignment horizontal="left"/>
    </xf>
    <xf numFmtId="0" fontId="60" fillId="0" borderId="32" xfId="0" applyFont="1" applyBorder="1"/>
    <xf numFmtId="0" fontId="60" fillId="0" borderId="18" xfId="0" applyFont="1" applyBorder="1"/>
    <xf numFmtId="0" fontId="0" fillId="0" borderId="82" xfId="0" applyBorder="1" applyAlignment="1">
      <alignment horizontal="right"/>
    </xf>
    <xf numFmtId="0" fontId="14" fillId="0" borderId="79" xfId="0" applyFont="1" applyBorder="1" applyAlignment="1">
      <alignment horizontal="right"/>
    </xf>
    <xf numFmtId="0" fontId="0" fillId="0" borderId="63" xfId="0" applyBorder="1" applyAlignment="1">
      <alignment horizontal="right"/>
    </xf>
    <xf numFmtId="0" fontId="125" fillId="0" borderId="71" xfId="0" applyFont="1" applyBorder="1" applyAlignment="1">
      <alignment horizontal="center"/>
    </xf>
    <xf numFmtId="0" fontId="0" fillId="0" borderId="57" xfId="0" applyBorder="1" applyAlignment="1">
      <alignment horizontal="right"/>
    </xf>
    <xf numFmtId="0" fontId="124" fillId="0" borderId="53" xfId="0" applyFont="1" applyBorder="1" applyAlignment="1">
      <alignment horizontal="left"/>
    </xf>
    <xf numFmtId="0" fontId="0" fillId="0" borderId="37" xfId="0" applyBorder="1" applyAlignment="1">
      <alignment horizontal="right"/>
    </xf>
    <xf numFmtId="0" fontId="123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2" fontId="75" fillId="0" borderId="28" xfId="0" applyNumberFormat="1" applyFont="1" applyBorder="1" applyAlignment="1">
      <alignment horizontal="left"/>
    </xf>
    <xf numFmtId="0" fontId="56" fillId="0" borderId="76" xfId="0" applyFont="1" applyBorder="1" applyAlignment="1">
      <alignment horizontal="left"/>
    </xf>
    <xf numFmtId="0" fontId="22" fillId="0" borderId="39" xfId="0" applyFont="1" applyBorder="1"/>
    <xf numFmtId="0" fontId="14" fillId="0" borderId="10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164" fontId="55" fillId="0" borderId="67" xfId="0" applyNumberFormat="1" applyFont="1" applyBorder="1" applyAlignment="1">
      <alignment horizontal="right"/>
    </xf>
    <xf numFmtId="0" fontId="33" fillId="0" borderId="63" xfId="0" applyFont="1" applyBorder="1"/>
    <xf numFmtId="0" fontId="77" fillId="0" borderId="68" xfId="0" applyFont="1" applyBorder="1" applyAlignment="1">
      <alignment horizontal="left"/>
    </xf>
    <xf numFmtId="0" fontId="79" fillId="0" borderId="8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2" fillId="0" borderId="61" xfId="0" applyFont="1" applyBorder="1"/>
    <xf numFmtId="0" fontId="22" fillId="0" borderId="87" xfId="0" applyFont="1" applyBorder="1" applyAlignment="1">
      <alignment horizontal="left"/>
    </xf>
    <xf numFmtId="0" fontId="75" fillId="0" borderId="87" xfId="0" applyFont="1" applyBorder="1" applyAlignment="1">
      <alignment horizontal="left"/>
    </xf>
    <xf numFmtId="0" fontId="22" fillId="0" borderId="76" xfId="0" applyFont="1" applyBorder="1"/>
    <xf numFmtId="0" fontId="54" fillId="0" borderId="47" xfId="0" applyFont="1" applyBorder="1" applyAlignment="1">
      <alignment horizontal="left"/>
    </xf>
    <xf numFmtId="2" fontId="80" fillId="0" borderId="72" xfId="0" applyNumberFormat="1" applyFont="1" applyBorder="1" applyAlignment="1">
      <alignment horizontal="left"/>
    </xf>
    <xf numFmtId="168" fontId="79" fillId="0" borderId="72" xfId="0" applyNumberFormat="1" applyFont="1" applyBorder="1" applyAlignment="1">
      <alignment horizontal="left"/>
    </xf>
    <xf numFmtId="2" fontId="14" fillId="0" borderId="57" xfId="0" applyNumberFormat="1" applyFont="1" applyBorder="1" applyAlignment="1">
      <alignment horizontal="left"/>
    </xf>
    <xf numFmtId="2" fontId="80" fillId="0" borderId="59" xfId="0" applyNumberFormat="1" applyFont="1" applyBorder="1" applyAlignment="1">
      <alignment horizontal="left"/>
    </xf>
    <xf numFmtId="0" fontId="56" fillId="0" borderId="62" xfId="0" applyFont="1" applyBorder="1"/>
    <xf numFmtId="0" fontId="55" fillId="0" borderId="79" xfId="0" applyFont="1" applyBorder="1"/>
    <xf numFmtId="0" fontId="14" fillId="0" borderId="80" xfId="0" applyFont="1" applyBorder="1"/>
    <xf numFmtId="0" fontId="0" fillId="0" borderId="29" xfId="0" applyBorder="1"/>
    <xf numFmtId="165" fontId="33" fillId="0" borderId="76" xfId="0" applyNumberFormat="1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66" fillId="0" borderId="42" xfId="0" applyFont="1" applyBorder="1"/>
    <xf numFmtId="0" fontId="2" fillId="0" borderId="70" xfId="0" applyFont="1" applyBorder="1" applyAlignment="1">
      <alignment horizontal="left"/>
    </xf>
    <xf numFmtId="0" fontId="73" fillId="0" borderId="69" xfId="0" applyFont="1" applyBorder="1"/>
    <xf numFmtId="0" fontId="69" fillId="0" borderId="52" xfId="0" applyFont="1" applyBorder="1"/>
    <xf numFmtId="0" fontId="69" fillId="0" borderId="54" xfId="0" applyFont="1" applyBorder="1" applyAlignment="1">
      <alignment horizontal="left"/>
    </xf>
    <xf numFmtId="0" fontId="0" fillId="0" borderId="60" xfId="0" applyBorder="1" applyAlignment="1">
      <alignment horizontal="right"/>
    </xf>
    <xf numFmtId="0" fontId="0" fillId="0" borderId="59" xfId="0" applyBorder="1"/>
    <xf numFmtId="0" fontId="46" fillId="0" borderId="27" xfId="0" applyFont="1" applyBorder="1"/>
    <xf numFmtId="164" fontId="14" fillId="0" borderId="53" xfId="0" applyNumberFormat="1" applyFont="1" applyBorder="1" applyAlignment="1">
      <alignment horizontal="right"/>
    </xf>
    <xf numFmtId="164" fontId="14" fillId="0" borderId="79" xfId="0" applyNumberFormat="1" applyFont="1" applyBorder="1" applyAlignment="1">
      <alignment horizontal="left"/>
    </xf>
    <xf numFmtId="0" fontId="33" fillId="0" borderId="76" xfId="0" applyFont="1" applyBorder="1" applyAlignment="1">
      <alignment horizontal="center"/>
    </xf>
    <xf numFmtId="0" fontId="60" fillId="0" borderId="61" xfId="0" applyFont="1" applyBorder="1"/>
    <xf numFmtId="0" fontId="45" fillId="0" borderId="53" xfId="0" applyFont="1" applyBorder="1"/>
    <xf numFmtId="0" fontId="60" fillId="0" borderId="22" xfId="0" applyFont="1" applyBorder="1"/>
    <xf numFmtId="0" fontId="60" fillId="0" borderId="37" xfId="0" applyFont="1" applyBorder="1"/>
    <xf numFmtId="0" fontId="50" fillId="0" borderId="1" xfId="0" applyFont="1" applyBorder="1"/>
    <xf numFmtId="0" fontId="46" fillId="0" borderId="18" xfId="0" applyFont="1" applyBorder="1"/>
    <xf numFmtId="0" fontId="28" fillId="0" borderId="60" xfId="0" applyFont="1" applyBorder="1" applyAlignment="1">
      <alignment horizontal="left"/>
    </xf>
    <xf numFmtId="0" fontId="48" fillId="0" borderId="16" xfId="0" applyFont="1" applyBorder="1"/>
    <xf numFmtId="0" fontId="77" fillId="0" borderId="59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8" fillId="0" borderId="53" xfId="0" applyFont="1" applyBorder="1"/>
    <xf numFmtId="0" fontId="8" fillId="0" borderId="56" xfId="0" applyFont="1" applyBorder="1"/>
    <xf numFmtId="0" fontId="77" fillId="0" borderId="55" xfId="0" applyFont="1" applyBorder="1"/>
    <xf numFmtId="0" fontId="22" fillId="0" borderId="56" xfId="0" applyFont="1" applyBorder="1"/>
    <xf numFmtId="0" fontId="65" fillId="0" borderId="40" xfId="0" applyFont="1" applyBorder="1"/>
    <xf numFmtId="0" fontId="8" fillId="0" borderId="10" xfId="0" applyFont="1" applyBorder="1"/>
    <xf numFmtId="0" fontId="50" fillId="0" borderId="37" xfId="0" applyFont="1" applyBorder="1"/>
    <xf numFmtId="0" fontId="46" fillId="0" borderId="38" xfId="0" applyFont="1" applyBorder="1" applyAlignment="1">
      <alignment horizontal="left"/>
    </xf>
    <xf numFmtId="0" fontId="46" fillId="0" borderId="16" xfId="0" applyFont="1" applyBorder="1"/>
    <xf numFmtId="168" fontId="2" fillId="0" borderId="0" xfId="0" applyNumberFormat="1" applyFont="1"/>
    <xf numFmtId="0" fontId="33" fillId="0" borderId="53" xfId="0" applyFont="1" applyBorder="1"/>
    <xf numFmtId="0" fontId="29" fillId="0" borderId="3" xfId="0" applyFont="1" applyBorder="1"/>
    <xf numFmtId="0" fontId="109" fillId="0" borderId="80" xfId="0" applyFont="1" applyBorder="1"/>
    <xf numFmtId="0" fontId="77" fillId="0" borderId="44" xfId="0" applyFont="1" applyBorder="1" applyAlignment="1">
      <alignment horizontal="left"/>
    </xf>
    <xf numFmtId="0" fontId="17" fillId="0" borderId="64" xfId="0" applyFont="1" applyBorder="1" applyAlignment="1">
      <alignment horizontal="left"/>
    </xf>
    <xf numFmtId="0" fontId="2" fillId="0" borderId="12" xfId="0" applyFont="1" applyBorder="1"/>
    <xf numFmtId="0" fontId="33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33" fillId="0" borderId="18" xfId="0" applyFont="1" applyBorder="1"/>
    <xf numFmtId="0" fontId="55" fillId="0" borderId="66" xfId="0" applyFont="1" applyBorder="1" applyAlignment="1">
      <alignment horizontal="right"/>
    </xf>
    <xf numFmtId="0" fontId="48" fillId="0" borderId="18" xfId="0" applyFont="1" applyBorder="1" applyAlignment="1">
      <alignment horizontal="left"/>
    </xf>
    <xf numFmtId="0" fontId="47" fillId="0" borderId="25" xfId="0" applyFont="1" applyBorder="1" applyAlignment="1">
      <alignment horizontal="center"/>
    </xf>
    <xf numFmtId="2" fontId="36" fillId="0" borderId="25" xfId="0" applyNumberFormat="1" applyFont="1" applyBorder="1" applyAlignment="1">
      <alignment horizontal="center" vertical="center" wrapText="1"/>
    </xf>
    <xf numFmtId="2" fontId="17" fillId="0" borderId="53" xfId="0" applyNumberFormat="1" applyFont="1" applyBorder="1" applyAlignment="1">
      <alignment horizontal="center"/>
    </xf>
    <xf numFmtId="166" fontId="17" fillId="0" borderId="37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 wrapText="1"/>
    </xf>
    <xf numFmtId="0" fontId="116" fillId="0" borderId="18" xfId="0" applyFont="1" applyBorder="1" applyAlignment="1">
      <alignment horizontal="left"/>
    </xf>
    <xf numFmtId="1" fontId="36" fillId="0" borderId="85" xfId="0" applyNumberFormat="1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27" xfId="0" applyBorder="1" applyAlignment="1">
      <alignment horizontal="right"/>
    </xf>
    <xf numFmtId="0" fontId="48" fillId="0" borderId="3" xfId="0" applyFont="1" applyBorder="1" applyAlignment="1">
      <alignment horizontal="left"/>
    </xf>
    <xf numFmtId="0" fontId="0" fillId="0" borderId="9" xfId="0" applyBorder="1" applyAlignment="1">
      <alignment horizontal="right"/>
    </xf>
    <xf numFmtId="2" fontId="36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33" fillId="0" borderId="39" xfId="0" applyFont="1" applyBorder="1" applyAlignment="1">
      <alignment horizontal="left"/>
    </xf>
    <xf numFmtId="2" fontId="10" fillId="0" borderId="38" xfId="0" applyNumberFormat="1" applyFont="1" applyBorder="1" applyAlignment="1">
      <alignment horizontal="center"/>
    </xf>
    <xf numFmtId="0" fontId="54" fillId="0" borderId="86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2" fontId="17" fillId="0" borderId="80" xfId="0" applyNumberFormat="1" applyFont="1" applyBorder="1" applyAlignment="1">
      <alignment horizontal="center"/>
    </xf>
    <xf numFmtId="2" fontId="16" fillId="0" borderId="9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33" fillId="0" borderId="30" xfId="0" applyFont="1" applyBorder="1" applyAlignment="1">
      <alignment horizontal="left"/>
    </xf>
    <xf numFmtId="2" fontId="18" fillId="0" borderId="76" xfId="0" applyNumberFormat="1" applyFont="1" applyBorder="1" applyAlignment="1">
      <alignment horizontal="center"/>
    </xf>
    <xf numFmtId="1" fontId="36" fillId="0" borderId="53" xfId="0" applyNumberFormat="1" applyFont="1" applyBorder="1" applyAlignment="1">
      <alignment horizontal="center"/>
    </xf>
    <xf numFmtId="0" fontId="65" fillId="0" borderId="0" xfId="0" applyFont="1" applyAlignment="1">
      <alignment horizontal="left"/>
    </xf>
    <xf numFmtId="166" fontId="17" fillId="0" borderId="0" xfId="0" applyNumberFormat="1" applyFont="1" applyAlignment="1">
      <alignment horizontal="left"/>
    </xf>
    <xf numFmtId="165" fontId="35" fillId="0" borderId="0" xfId="0" applyNumberFormat="1" applyFont="1"/>
    <xf numFmtId="166" fontId="7" fillId="0" borderId="0" xfId="0" applyNumberFormat="1" applyFont="1"/>
    <xf numFmtId="0" fontId="22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3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 vertical="center"/>
    </xf>
    <xf numFmtId="0" fontId="60" fillId="0" borderId="18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54" fillId="0" borderId="26" xfId="0" applyFont="1" applyBorder="1"/>
    <xf numFmtId="0" fontId="0" fillId="0" borderId="11" xfId="0" applyBorder="1" applyAlignment="1">
      <alignment horizontal="left"/>
    </xf>
    <xf numFmtId="0" fontId="17" fillId="0" borderId="8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28" fillId="0" borderId="11" xfId="0" applyFont="1" applyBorder="1" applyAlignment="1">
      <alignment horizontal="left"/>
    </xf>
    <xf numFmtId="0" fontId="128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28" fillId="0" borderId="29" xfId="0" applyFont="1" applyBorder="1" applyAlignment="1">
      <alignment horizontal="left"/>
    </xf>
    <xf numFmtId="0" fontId="54" fillId="0" borderId="9" xfId="0" applyFont="1" applyBorder="1"/>
    <xf numFmtId="0" fontId="14" fillId="0" borderId="22" xfId="0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54" fillId="0" borderId="2" xfId="0" applyFont="1" applyBorder="1"/>
    <xf numFmtId="0" fontId="17" fillId="0" borderId="78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7" fillId="0" borderId="23" xfId="0" applyFont="1" applyBorder="1"/>
    <xf numFmtId="0" fontId="0" fillId="0" borderId="67" xfId="0" applyBorder="1"/>
    <xf numFmtId="0" fontId="20" fillId="2" borderId="77" xfId="0" applyFont="1" applyFill="1" applyBorder="1" applyAlignment="1">
      <alignment horizontal="right"/>
    </xf>
    <xf numFmtId="2" fontId="91" fillId="0" borderId="74" xfId="0" applyNumberFormat="1" applyFont="1" applyBorder="1"/>
    <xf numFmtId="2" fontId="91" fillId="2" borderId="30" xfId="0" applyNumberFormat="1" applyFont="1" applyFill="1" applyBorder="1"/>
    <xf numFmtId="0" fontId="48" fillId="0" borderId="75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17" fillId="0" borderId="7" xfId="0" applyFont="1" applyBorder="1"/>
    <xf numFmtId="164" fontId="55" fillId="0" borderId="66" xfId="0" applyNumberFormat="1" applyFont="1" applyBorder="1" applyAlignment="1">
      <alignment horizontal="right"/>
    </xf>
    <xf numFmtId="0" fontId="55" fillId="0" borderId="86" xfId="0" applyFont="1" applyBorder="1" applyAlignment="1">
      <alignment horizontal="right"/>
    </xf>
    <xf numFmtId="0" fontId="55" fillId="0" borderId="85" xfId="0" applyFont="1" applyBorder="1" applyAlignment="1">
      <alignment horizontal="right"/>
    </xf>
    <xf numFmtId="2" fontId="35" fillId="0" borderId="36" xfId="0" applyNumberFormat="1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/>
    </xf>
    <xf numFmtId="2" fontId="91" fillId="2" borderId="79" xfId="0" applyNumberFormat="1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2" fontId="17" fillId="0" borderId="64" xfId="0" applyNumberFormat="1" applyFont="1" applyBorder="1" applyAlignment="1">
      <alignment horizontal="left"/>
    </xf>
    <xf numFmtId="0" fontId="54" fillId="0" borderId="26" xfId="0" applyFont="1" applyBorder="1" applyAlignment="1">
      <alignment horizontal="center"/>
    </xf>
    <xf numFmtId="2" fontId="17" fillId="0" borderId="76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2" fontId="35" fillId="0" borderId="23" xfId="0" applyNumberFormat="1" applyFont="1" applyBorder="1" applyAlignment="1">
      <alignment horizontal="center"/>
    </xf>
    <xf numFmtId="2" fontId="116" fillId="0" borderId="23" xfId="0" applyNumberFormat="1" applyFont="1" applyBorder="1" applyAlignment="1">
      <alignment horizontal="center"/>
    </xf>
    <xf numFmtId="2" fontId="91" fillId="0" borderId="74" xfId="0" applyNumberFormat="1" applyFont="1" applyBorder="1" applyAlignment="1">
      <alignment horizontal="center"/>
    </xf>
    <xf numFmtId="2" fontId="91" fillId="0" borderId="80" xfId="0" applyNumberFormat="1" applyFont="1" applyBorder="1" applyAlignment="1">
      <alignment horizontal="center"/>
    </xf>
    <xf numFmtId="2" fontId="91" fillId="2" borderId="80" xfId="0" applyNumberFormat="1" applyFont="1" applyFill="1" applyBorder="1" applyAlignment="1">
      <alignment horizontal="center"/>
    </xf>
    <xf numFmtId="2" fontId="91" fillId="0" borderId="81" xfId="0" applyNumberFormat="1" applyFont="1" applyBorder="1" applyAlignment="1">
      <alignment horizontal="center"/>
    </xf>
    <xf numFmtId="165" fontId="35" fillId="0" borderId="23" xfId="0" applyNumberFormat="1" applyFont="1" applyBorder="1" applyAlignment="1">
      <alignment horizontal="center" vertical="center"/>
    </xf>
    <xf numFmtId="0" fontId="20" fillId="2" borderId="37" xfId="0" applyFont="1" applyFill="1" applyBorder="1" applyAlignment="1">
      <alignment horizontal="right"/>
    </xf>
    <xf numFmtId="2" fontId="91" fillId="2" borderId="30" xfId="0" applyNumberFormat="1" applyFont="1" applyFill="1" applyBorder="1" applyAlignment="1">
      <alignment horizontal="center"/>
    </xf>
    <xf numFmtId="2" fontId="17" fillId="0" borderId="64" xfId="0" applyNumberFormat="1" applyFont="1" applyBorder="1" applyAlignment="1">
      <alignment horizontal="center"/>
    </xf>
    <xf numFmtId="2" fontId="17" fillId="0" borderId="65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166" fontId="54" fillId="0" borderId="0" xfId="0" applyNumberFormat="1" applyFont="1" applyAlignment="1">
      <alignment horizontal="left"/>
    </xf>
    <xf numFmtId="166" fontId="22" fillId="0" borderId="0" xfId="0" applyNumberFormat="1" applyFont="1" applyAlignment="1">
      <alignment horizontal="left"/>
    </xf>
    <xf numFmtId="166" fontId="129" fillId="0" borderId="0" xfId="0" applyNumberFormat="1" applyFont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17" fillId="0" borderId="39" xfId="0" applyFont="1" applyBorder="1" applyAlignment="1">
      <alignment horizontal="left"/>
    </xf>
    <xf numFmtId="0" fontId="128" fillId="0" borderId="47" xfId="0" applyFont="1" applyBorder="1" applyAlignment="1">
      <alignment horizontal="left"/>
    </xf>
    <xf numFmtId="0" fontId="128" fillId="0" borderId="44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28" fillId="0" borderId="83" xfId="0" applyFont="1" applyBorder="1" applyAlignment="1">
      <alignment horizontal="left"/>
    </xf>
    <xf numFmtId="2" fontId="18" fillId="0" borderId="72" xfId="0" applyNumberFormat="1" applyFont="1" applyBorder="1" applyAlignment="1">
      <alignment horizontal="center"/>
    </xf>
    <xf numFmtId="166" fontId="18" fillId="0" borderId="80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 vertical="center"/>
    </xf>
    <xf numFmtId="49" fontId="55" fillId="0" borderId="66" xfId="0" applyNumberFormat="1" applyFont="1" applyBorder="1" applyAlignment="1">
      <alignment horizontal="right"/>
    </xf>
    <xf numFmtId="2" fontId="18" fillId="0" borderId="74" xfId="0" applyNumberFormat="1" applyFont="1" applyBorder="1" applyAlignment="1">
      <alignment horizontal="center"/>
    </xf>
    <xf numFmtId="2" fontId="35" fillId="0" borderId="35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left"/>
    </xf>
    <xf numFmtId="165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/>
    <xf numFmtId="0" fontId="54" fillId="0" borderId="67" xfId="0" applyFont="1" applyBorder="1" applyAlignment="1">
      <alignment horizontal="left"/>
    </xf>
    <xf numFmtId="2" fontId="35" fillId="0" borderId="33" xfId="0" applyNumberFormat="1" applyFont="1" applyBorder="1" applyAlignment="1">
      <alignment horizontal="center" vertical="center"/>
    </xf>
    <xf numFmtId="164" fontId="55" fillId="0" borderId="0" xfId="0" applyNumberFormat="1" applyFont="1" applyAlignment="1">
      <alignment horizontal="right"/>
    </xf>
    <xf numFmtId="0" fontId="54" fillId="0" borderId="51" xfId="0" applyFont="1" applyBorder="1" applyAlignment="1">
      <alignment horizontal="center"/>
    </xf>
    <xf numFmtId="2" fontId="91" fillId="2" borderId="79" xfId="0" applyNumberFormat="1" applyFont="1" applyFill="1" applyBorder="1"/>
    <xf numFmtId="2" fontId="91" fillId="0" borderId="80" xfId="0" applyNumberFormat="1" applyFont="1" applyBorder="1"/>
    <xf numFmtId="2" fontId="18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35" fillId="0" borderId="28" xfId="0" applyNumberFormat="1" applyFont="1" applyBorder="1" applyAlignment="1">
      <alignment horizontal="center" vertical="center"/>
    </xf>
    <xf numFmtId="2" fontId="17" fillId="0" borderId="63" xfId="0" applyNumberFormat="1" applyFont="1" applyBorder="1" applyAlignment="1">
      <alignment horizontal="left"/>
    </xf>
    <xf numFmtId="2" fontId="17" fillId="0" borderId="65" xfId="0" applyNumberFormat="1" applyFont="1" applyBorder="1" applyAlignment="1">
      <alignment horizontal="left"/>
    </xf>
    <xf numFmtId="2" fontId="35" fillId="0" borderId="22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166" fontId="131" fillId="0" borderId="0" xfId="0" applyNumberFormat="1" applyFont="1" applyAlignment="1">
      <alignment horizontal="center"/>
    </xf>
    <xf numFmtId="0" fontId="2" fillId="0" borderId="33" xfId="0" applyFont="1" applyBorder="1" applyAlignment="1">
      <alignment horizontal="center"/>
    </xf>
    <xf numFmtId="166" fontId="18" fillId="0" borderId="23" xfId="0" applyNumberFormat="1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2" fontId="17" fillId="0" borderId="63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67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2" fontId="35" fillId="0" borderId="58" xfId="0" applyNumberFormat="1" applyFont="1" applyBorder="1" applyAlignment="1">
      <alignment horizontal="center" vertical="center"/>
    </xf>
    <xf numFmtId="2" fontId="35" fillId="0" borderId="57" xfId="0" applyNumberFormat="1" applyFont="1" applyBorder="1" applyAlignment="1">
      <alignment horizontal="center" vertical="center"/>
    </xf>
    <xf numFmtId="2" fontId="91" fillId="2" borderId="63" xfId="0" applyNumberFormat="1" applyFont="1" applyFill="1" applyBorder="1" applyAlignment="1">
      <alignment horizontal="center"/>
    </xf>
    <xf numFmtId="2" fontId="91" fillId="2" borderId="64" xfId="0" applyNumberFormat="1" applyFont="1" applyFill="1" applyBorder="1" applyAlignment="1">
      <alignment horizontal="center"/>
    </xf>
    <xf numFmtId="2" fontId="91" fillId="0" borderId="64" xfId="0" applyNumberFormat="1" applyFont="1" applyBorder="1" applyAlignment="1">
      <alignment horizontal="center"/>
    </xf>
    <xf numFmtId="2" fontId="91" fillId="0" borderId="65" xfId="0" applyNumberFormat="1" applyFont="1" applyBorder="1" applyAlignment="1">
      <alignment horizontal="center"/>
    </xf>
    <xf numFmtId="2" fontId="35" fillId="0" borderId="33" xfId="0" applyNumberFormat="1" applyFont="1" applyBorder="1" applyAlignment="1">
      <alignment horizontal="center"/>
    </xf>
    <xf numFmtId="0" fontId="47" fillId="0" borderId="2" xfId="0" applyFont="1" applyBorder="1"/>
    <xf numFmtId="0" fontId="10" fillId="0" borderId="26" xfId="0" applyFont="1" applyBorder="1" applyAlignment="1">
      <alignment horizontal="center"/>
    </xf>
    <xf numFmtId="164" fontId="14" fillId="0" borderId="23" xfId="0" applyNumberFormat="1" applyFont="1" applyBorder="1" applyAlignment="1">
      <alignment horizontal="left"/>
    </xf>
    <xf numFmtId="167" fontId="17" fillId="0" borderId="80" xfId="0" applyNumberFormat="1" applyFont="1" applyBorder="1" applyAlignment="1">
      <alignment horizontal="center"/>
    </xf>
    <xf numFmtId="0" fontId="55" fillId="0" borderId="53" xfId="0" applyFont="1" applyBorder="1" applyAlignment="1">
      <alignment horizontal="left"/>
    </xf>
    <xf numFmtId="0" fontId="10" fillId="0" borderId="7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132" fillId="10" borderId="67" xfId="0" applyFont="1" applyFill="1" applyBorder="1" applyAlignment="1">
      <alignment horizontal="center"/>
    </xf>
    <xf numFmtId="2" fontId="91" fillId="3" borderId="62" xfId="0" applyNumberFormat="1" applyFont="1" applyFill="1" applyBorder="1" applyAlignment="1">
      <alignment horizontal="center"/>
    </xf>
    <xf numFmtId="2" fontId="91" fillId="3" borderId="76" xfId="0" applyNumberFormat="1" applyFont="1" applyFill="1" applyBorder="1" applyAlignment="1">
      <alignment horizontal="center"/>
    </xf>
    <xf numFmtId="1" fontId="36" fillId="0" borderId="76" xfId="0" applyNumberFormat="1" applyFont="1" applyBorder="1" applyAlignment="1">
      <alignment horizontal="center"/>
    </xf>
    <xf numFmtId="1" fontId="36" fillId="0" borderId="78" xfId="0" applyNumberFormat="1" applyFont="1" applyBorder="1" applyAlignment="1">
      <alignment horizontal="center"/>
    </xf>
    <xf numFmtId="0" fontId="0" fillId="4" borderId="53" xfId="0" applyFill="1" applyBorder="1"/>
    <xf numFmtId="2" fontId="16" fillId="4" borderId="30" xfId="0" applyNumberFormat="1" applyFont="1" applyFill="1" applyBorder="1" applyAlignment="1">
      <alignment horizontal="center"/>
    </xf>
    <xf numFmtId="0" fontId="41" fillId="4" borderId="37" xfId="0" applyFont="1" applyFill="1" applyBorder="1" applyAlignment="1">
      <alignment horizontal="right"/>
    </xf>
    <xf numFmtId="2" fontId="91" fillId="3" borderId="78" xfId="0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left"/>
    </xf>
    <xf numFmtId="2" fontId="84" fillId="0" borderId="0" xfId="0" applyNumberFormat="1" applyFont="1" applyAlignment="1">
      <alignment horizontal="left"/>
    </xf>
    <xf numFmtId="0" fontId="133" fillId="10" borderId="67" xfId="0" applyFont="1" applyFill="1" applyBorder="1" applyAlignment="1">
      <alignment horizontal="center"/>
    </xf>
    <xf numFmtId="0" fontId="97" fillId="0" borderId="19" xfId="0" applyFont="1" applyBorder="1" applyAlignment="1">
      <alignment horizontal="left"/>
    </xf>
    <xf numFmtId="2" fontId="84" fillId="0" borderId="25" xfId="0" applyNumberFormat="1" applyFont="1" applyBorder="1" applyAlignment="1">
      <alignment horizontal="left"/>
    </xf>
    <xf numFmtId="2" fontId="91" fillId="16" borderId="76" xfId="0" applyNumberFormat="1" applyFont="1" applyFill="1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2" fontId="91" fillId="0" borderId="81" xfId="0" applyNumberFormat="1" applyFont="1" applyBorder="1"/>
    <xf numFmtId="2" fontId="91" fillId="0" borderId="68" xfId="0" applyNumberFormat="1" applyFont="1" applyBorder="1" applyAlignment="1">
      <alignment horizontal="center"/>
    </xf>
    <xf numFmtId="167" fontId="1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left"/>
    </xf>
    <xf numFmtId="0" fontId="116" fillId="0" borderId="23" xfId="0" applyFont="1" applyBorder="1" applyAlignment="1">
      <alignment horizontal="center"/>
    </xf>
    <xf numFmtId="2" fontId="18" fillId="0" borderId="80" xfId="0" applyNumberFormat="1" applyFont="1" applyBorder="1" applyAlignment="1">
      <alignment horizontal="center"/>
    </xf>
    <xf numFmtId="2" fontId="18" fillId="0" borderId="60" xfId="0" applyNumberFormat="1" applyFont="1" applyBorder="1" applyAlignment="1">
      <alignment horizontal="center"/>
    </xf>
    <xf numFmtId="0" fontId="14" fillId="0" borderId="38" xfId="0" applyFont="1" applyBorder="1"/>
    <xf numFmtId="0" fontId="14" fillId="0" borderId="36" xfId="0" applyFont="1" applyBorder="1"/>
    <xf numFmtId="0" fontId="14" fillId="0" borderId="23" xfId="0" applyFont="1" applyBorder="1"/>
    <xf numFmtId="166" fontId="18" fillId="0" borderId="23" xfId="0" applyNumberFormat="1" applyFont="1" applyBorder="1"/>
    <xf numFmtId="2" fontId="17" fillId="0" borderId="18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0" fontId="130" fillId="0" borderId="66" xfId="0" applyFont="1" applyBorder="1" applyAlignment="1">
      <alignment horizontal="right"/>
    </xf>
    <xf numFmtId="0" fontId="14" fillId="0" borderId="67" xfId="0" applyFont="1" applyBorder="1" applyAlignment="1">
      <alignment horizontal="right"/>
    </xf>
    <xf numFmtId="2" fontId="91" fillId="3" borderId="72" xfId="0" applyNumberFormat="1" applyFont="1" applyFill="1" applyBorder="1" applyAlignment="1">
      <alignment horizontal="center"/>
    </xf>
    <xf numFmtId="2" fontId="91" fillId="16" borderId="62" xfId="0" applyNumberFormat="1" applyFont="1" applyFill="1" applyBorder="1" applyAlignment="1">
      <alignment horizontal="center"/>
    </xf>
    <xf numFmtId="2" fontId="91" fillId="16" borderId="72" xfId="0" applyNumberFormat="1" applyFont="1" applyFill="1" applyBorder="1" applyAlignment="1">
      <alignment horizontal="center"/>
    </xf>
    <xf numFmtId="2" fontId="91" fillId="16" borderId="78" xfId="0" applyNumberFormat="1" applyFont="1" applyFill="1" applyBorder="1" applyAlignment="1">
      <alignment horizontal="center"/>
    </xf>
    <xf numFmtId="0" fontId="136" fillId="0" borderId="19" xfId="0" applyFont="1" applyBorder="1" applyAlignment="1">
      <alignment horizontal="left"/>
    </xf>
    <xf numFmtId="2" fontId="38" fillId="0" borderId="25" xfId="0" applyNumberFormat="1" applyFont="1" applyBorder="1" applyAlignment="1">
      <alignment horizontal="left"/>
    </xf>
    <xf numFmtId="0" fontId="124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22" fillId="0" borderId="66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55" fillId="0" borderId="0" xfId="0" applyFont="1"/>
    <xf numFmtId="0" fontId="55" fillId="0" borderId="0" xfId="0" applyFont="1" applyAlignment="1">
      <alignment horizontal="right"/>
    </xf>
    <xf numFmtId="0" fontId="69" fillId="0" borderId="39" xfId="0" applyFont="1" applyBorder="1"/>
    <xf numFmtId="0" fontId="69" fillId="0" borderId="58" xfId="0" applyFont="1" applyBorder="1"/>
    <xf numFmtId="0" fontId="22" fillId="0" borderId="55" xfId="0" applyFont="1" applyBorder="1" applyAlignment="1">
      <alignment horizontal="right"/>
    </xf>
    <xf numFmtId="0" fontId="69" fillId="0" borderId="86" xfId="0" applyFont="1" applyBorder="1"/>
    <xf numFmtId="0" fontId="77" fillId="0" borderId="34" xfId="0" applyFont="1" applyBorder="1"/>
    <xf numFmtId="0" fontId="35" fillId="0" borderId="16" xfId="0" applyFont="1" applyBorder="1"/>
    <xf numFmtId="0" fontId="10" fillId="0" borderId="2" xfId="0" applyFont="1" applyBorder="1"/>
    <xf numFmtId="2" fontId="8" fillId="0" borderId="3" xfId="0" applyNumberFormat="1" applyFont="1" applyBorder="1" applyAlignment="1">
      <alignment horizontal="left"/>
    </xf>
    <xf numFmtId="0" fontId="47" fillId="0" borderId="2" xfId="0" applyFont="1" applyBorder="1" applyAlignment="1">
      <alignment horizontal="center" vertical="center"/>
    </xf>
    <xf numFmtId="0" fontId="60" fillId="0" borderId="3" xfId="0" applyFont="1" applyBorder="1"/>
    <xf numFmtId="0" fontId="50" fillId="0" borderId="84" xfId="0" applyFont="1" applyBorder="1" applyAlignment="1">
      <alignment horizontal="left"/>
    </xf>
    <xf numFmtId="0" fontId="22" fillId="0" borderId="5" xfId="0" applyFont="1" applyBorder="1"/>
    <xf numFmtId="0" fontId="53" fillId="0" borderId="22" xfId="0" applyFont="1" applyBorder="1"/>
    <xf numFmtId="1" fontId="75" fillId="0" borderId="81" xfId="0" applyNumberFormat="1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74" fillId="0" borderId="19" xfId="0" applyFont="1" applyBorder="1" applyAlignment="1">
      <alignment horizontal="left"/>
    </xf>
    <xf numFmtId="1" fontId="22" fillId="0" borderId="23" xfId="0" applyNumberFormat="1" applyFont="1" applyBorder="1" applyAlignment="1">
      <alignment horizontal="left"/>
    </xf>
    <xf numFmtId="1" fontId="75" fillId="0" borderId="24" xfId="0" applyNumberFormat="1" applyFont="1" applyBorder="1" applyAlignment="1">
      <alignment horizontal="left"/>
    </xf>
    <xf numFmtId="0" fontId="53" fillId="0" borderId="62" xfId="0" applyFont="1" applyBorder="1"/>
    <xf numFmtId="1" fontId="22" fillId="0" borderId="36" xfId="0" applyNumberFormat="1" applyFont="1" applyBorder="1" applyAlignment="1">
      <alignment horizontal="left"/>
    </xf>
    <xf numFmtId="1" fontId="75" fillId="0" borderId="28" xfId="0" applyNumberFormat="1" applyFont="1" applyBorder="1" applyAlignment="1">
      <alignment horizontal="left"/>
    </xf>
    <xf numFmtId="2" fontId="2" fillId="0" borderId="72" xfId="0" applyNumberFormat="1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28" fillId="0" borderId="0" xfId="0" applyFont="1" applyAlignment="1">
      <alignment horizontal="center"/>
    </xf>
    <xf numFmtId="0" fontId="6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4" fillId="0" borderId="16" xfId="0" applyFont="1" applyBorder="1" applyAlignment="1">
      <alignment horizontal="left"/>
    </xf>
    <xf numFmtId="2" fontId="129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left"/>
    </xf>
    <xf numFmtId="0" fontId="14" fillId="0" borderId="26" xfId="0" applyFont="1" applyBorder="1" applyAlignment="1">
      <alignment horizontal="center"/>
    </xf>
    <xf numFmtId="2" fontId="97" fillId="4" borderId="76" xfId="0" applyNumberFormat="1" applyFont="1" applyFill="1" applyBorder="1" applyAlignment="1">
      <alignment horizontal="center"/>
    </xf>
    <xf numFmtId="0" fontId="72" fillId="0" borderId="0" xfId="0" applyFont="1"/>
    <xf numFmtId="165" fontId="2" fillId="0" borderId="0" xfId="0" applyNumberFormat="1" applyFont="1"/>
    <xf numFmtId="0" fontId="17" fillId="0" borderId="86" xfId="0" applyFont="1" applyBorder="1" applyAlignment="1">
      <alignment horizontal="right"/>
    </xf>
    <xf numFmtId="164" fontId="55" fillId="0" borderId="67" xfId="0" applyNumberFormat="1" applyFont="1" applyBorder="1" applyAlignment="1">
      <alignment horizontal="left"/>
    </xf>
    <xf numFmtId="0" fontId="107" fillId="0" borderId="53" xfId="0" applyFont="1" applyBorder="1" applyAlignment="1">
      <alignment horizontal="left"/>
    </xf>
    <xf numFmtId="0" fontId="107" fillId="0" borderId="67" xfId="0" applyFont="1" applyBorder="1"/>
    <xf numFmtId="0" fontId="55" fillId="0" borderId="56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55" fillId="0" borderId="25" xfId="0" applyFont="1" applyBorder="1" applyAlignment="1">
      <alignment horizontal="left"/>
    </xf>
    <xf numFmtId="0" fontId="17" fillId="0" borderId="58" xfId="0" applyFont="1" applyBorder="1"/>
    <xf numFmtId="0" fontId="128" fillId="0" borderId="53" xfId="0" applyFont="1" applyBorder="1"/>
    <xf numFmtId="0" fontId="128" fillId="0" borderId="66" xfId="0" applyFont="1" applyBorder="1" applyAlignment="1">
      <alignment horizontal="right"/>
    </xf>
    <xf numFmtId="0" fontId="22" fillId="0" borderId="51" xfId="0" applyFont="1" applyBorder="1" applyAlignment="1">
      <alignment horizontal="right"/>
    </xf>
    <xf numFmtId="0" fontId="139" fillId="0" borderId="80" xfId="0" applyFont="1" applyBorder="1" applyAlignment="1">
      <alignment horizontal="left"/>
    </xf>
    <xf numFmtId="166" fontId="80" fillId="0" borderId="72" xfId="0" applyNumberFormat="1" applyFont="1" applyBorder="1" applyAlignment="1">
      <alignment horizontal="left"/>
    </xf>
    <xf numFmtId="2" fontId="17" fillId="0" borderId="25" xfId="0" applyNumberFormat="1" applyFont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2" fontId="17" fillId="0" borderId="67" xfId="0" applyNumberFormat="1" applyFont="1" applyBorder="1" applyAlignment="1">
      <alignment horizontal="center"/>
    </xf>
    <xf numFmtId="0" fontId="69" fillId="0" borderId="56" xfId="0" applyFont="1" applyBorder="1"/>
    <xf numFmtId="0" fontId="69" fillId="0" borderId="74" xfId="0" applyFont="1" applyBorder="1"/>
    <xf numFmtId="0" fontId="69" fillId="0" borderId="60" xfId="0" applyFont="1" applyBorder="1"/>
    <xf numFmtId="0" fontId="60" fillId="0" borderId="42" xfId="0" applyFont="1" applyBorder="1"/>
    <xf numFmtId="49" fontId="130" fillId="0" borderId="66" xfId="0" applyNumberFormat="1" applyFont="1" applyBorder="1" applyAlignment="1">
      <alignment horizontal="right"/>
    </xf>
    <xf numFmtId="0" fontId="17" fillId="0" borderId="85" xfId="0" applyFont="1" applyBorder="1" applyAlignment="1">
      <alignment horizontal="right"/>
    </xf>
    <xf numFmtId="0" fontId="69" fillId="0" borderId="47" xfId="0" applyFont="1" applyBorder="1"/>
    <xf numFmtId="0" fontId="69" fillId="0" borderId="57" xfId="0" applyFont="1" applyBorder="1"/>
    <xf numFmtId="0" fontId="69" fillId="0" borderId="80" xfId="0" applyFont="1" applyBorder="1"/>
    <xf numFmtId="0" fontId="73" fillId="0" borderId="76" xfId="0" applyFont="1" applyBorder="1"/>
    <xf numFmtId="0" fontId="14" fillId="0" borderId="57" xfId="0" applyFont="1" applyBorder="1"/>
    <xf numFmtId="0" fontId="55" fillId="0" borderId="62" xfId="0" applyFont="1" applyBorder="1" applyAlignment="1">
      <alignment horizontal="left"/>
    </xf>
    <xf numFmtId="0" fontId="54" fillId="0" borderId="57" xfId="0" applyFont="1" applyBorder="1" applyAlignment="1">
      <alignment horizontal="left"/>
    </xf>
    <xf numFmtId="0" fontId="72" fillId="0" borderId="76" xfId="0" applyFont="1" applyBorder="1"/>
    <xf numFmtId="2" fontId="97" fillId="4" borderId="62" xfId="0" applyNumberFormat="1" applyFont="1" applyFill="1" applyBorder="1" applyAlignment="1">
      <alignment horizontal="center"/>
    </xf>
    <xf numFmtId="2" fontId="97" fillId="4" borderId="78" xfId="0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right"/>
    </xf>
    <xf numFmtId="0" fontId="97" fillId="0" borderId="3" xfId="0" applyFont="1" applyBorder="1" applyAlignment="1">
      <alignment horizontal="left"/>
    </xf>
    <xf numFmtId="167" fontId="17" fillId="0" borderId="0" xfId="0" applyNumberFormat="1" applyFont="1" applyAlignment="1">
      <alignment horizontal="center"/>
    </xf>
    <xf numFmtId="0" fontId="69" fillId="0" borderId="53" xfId="0" applyFont="1" applyBorder="1"/>
    <xf numFmtId="169" fontId="0" fillId="0" borderId="0" xfId="0" applyNumberFormat="1"/>
    <xf numFmtId="0" fontId="2" fillId="0" borderId="32" xfId="0" applyFont="1" applyBorder="1" applyAlignment="1">
      <alignment horizontal="right"/>
    </xf>
    <xf numFmtId="0" fontId="123" fillId="0" borderId="2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38" fillId="0" borderId="80" xfId="0" applyFont="1" applyBorder="1"/>
    <xf numFmtId="0" fontId="90" fillId="0" borderId="67" xfId="0" applyFont="1" applyBorder="1" applyAlignment="1">
      <alignment horizontal="left"/>
    </xf>
    <xf numFmtId="0" fontId="69" fillId="0" borderId="76" xfId="0" applyFont="1" applyBorder="1"/>
    <xf numFmtId="0" fontId="69" fillId="0" borderId="70" xfId="0" applyFont="1" applyBorder="1" applyAlignment="1">
      <alignment horizontal="center"/>
    </xf>
    <xf numFmtId="0" fontId="55" fillId="0" borderId="79" xfId="0" applyFont="1" applyBorder="1" applyAlignment="1">
      <alignment horizontal="left"/>
    </xf>
    <xf numFmtId="0" fontId="69" fillId="0" borderId="54" xfId="0" applyFont="1" applyBorder="1" applyAlignment="1">
      <alignment horizontal="center"/>
    </xf>
    <xf numFmtId="0" fontId="109" fillId="0" borderId="0" xfId="0" applyFont="1"/>
    <xf numFmtId="0" fontId="46" fillId="0" borderId="69" xfId="0" applyFont="1" applyBorder="1" applyAlignment="1">
      <alignment horizontal="center"/>
    </xf>
    <xf numFmtId="0" fontId="75" fillId="0" borderId="76" xfId="0" applyFont="1" applyBorder="1" applyAlignment="1">
      <alignment horizontal="center"/>
    </xf>
    <xf numFmtId="0" fontId="75" fillId="0" borderId="0" xfId="0" applyFont="1" applyAlignment="1">
      <alignment horizontal="center"/>
    </xf>
    <xf numFmtId="168" fontId="75" fillId="0" borderId="72" xfId="0" applyNumberFormat="1" applyFont="1" applyBorder="1" applyAlignment="1">
      <alignment horizontal="center"/>
    </xf>
    <xf numFmtId="167" fontId="75" fillId="11" borderId="76" xfId="0" applyNumberFormat="1" applyFont="1" applyFill="1" applyBorder="1" applyAlignment="1">
      <alignment horizontal="center"/>
    </xf>
    <xf numFmtId="166" fontId="75" fillId="11" borderId="76" xfId="0" applyNumberFormat="1" applyFont="1" applyFill="1" applyBorder="1" applyAlignment="1">
      <alignment horizontal="center"/>
    </xf>
    <xf numFmtId="0" fontId="28" fillId="11" borderId="76" xfId="0" applyFont="1" applyFill="1" applyBorder="1" applyAlignment="1">
      <alignment horizontal="center"/>
    </xf>
    <xf numFmtId="165" fontId="75" fillId="0" borderId="80" xfId="0" applyNumberFormat="1" applyFont="1" applyBorder="1" applyAlignment="1">
      <alignment horizontal="center"/>
    </xf>
    <xf numFmtId="167" fontId="75" fillId="0" borderId="72" xfId="0" applyNumberFormat="1" applyFont="1" applyBorder="1" applyAlignment="1">
      <alignment horizontal="center"/>
    </xf>
    <xf numFmtId="167" fontId="28" fillId="0" borderId="0" xfId="0" applyNumberFormat="1" applyFont="1" applyAlignment="1">
      <alignment horizontal="center"/>
    </xf>
    <xf numFmtId="0" fontId="76" fillId="0" borderId="0" xfId="0" applyFont="1"/>
    <xf numFmtId="2" fontId="28" fillId="0" borderId="0" xfId="0" applyNumberFormat="1" applyFont="1" applyAlignment="1">
      <alignment horizontal="center"/>
    </xf>
    <xf numFmtId="2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5" fillId="0" borderId="32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9" fillId="0" borderId="78" xfId="0" applyFont="1" applyBorder="1" applyAlignment="1">
      <alignment horizontal="center"/>
    </xf>
    <xf numFmtId="0" fontId="75" fillId="0" borderId="78" xfId="0" applyFont="1" applyBorder="1" applyAlignment="1">
      <alignment horizontal="center"/>
    </xf>
    <xf numFmtId="2" fontId="75" fillId="0" borderId="76" xfId="0" applyNumberFormat="1" applyFont="1" applyBorder="1" applyAlignment="1">
      <alignment horizontal="center"/>
    </xf>
    <xf numFmtId="0" fontId="75" fillId="0" borderId="72" xfId="0" applyFont="1" applyBorder="1" applyAlignment="1">
      <alignment horizontal="center"/>
    </xf>
    <xf numFmtId="167" fontId="75" fillId="0" borderId="76" xfId="0" applyNumberFormat="1" applyFont="1" applyBorder="1" applyAlignment="1">
      <alignment horizontal="center"/>
    </xf>
    <xf numFmtId="1" fontId="75" fillId="0" borderId="0" xfId="0" applyNumberFormat="1" applyFont="1" applyAlignment="1">
      <alignment horizontal="center"/>
    </xf>
    <xf numFmtId="2" fontId="75" fillId="0" borderId="80" xfId="0" applyNumberFormat="1" applyFont="1" applyBorder="1" applyAlignment="1">
      <alignment horizontal="center"/>
    </xf>
    <xf numFmtId="166" fontId="28" fillId="0" borderId="0" xfId="0" applyNumberFormat="1" applyFont="1" applyAlignment="1">
      <alignment horizontal="center"/>
    </xf>
    <xf numFmtId="167" fontId="75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2" fontId="75" fillId="11" borderId="76" xfId="0" applyNumberFormat="1" applyFont="1" applyFill="1" applyBorder="1" applyAlignment="1">
      <alignment horizontal="center"/>
    </xf>
    <xf numFmtId="0" fontId="75" fillId="11" borderId="76" xfId="0" applyFont="1" applyFill="1" applyBorder="1" applyAlignment="1">
      <alignment horizontal="center"/>
    </xf>
    <xf numFmtId="1" fontId="75" fillId="11" borderId="76" xfId="0" applyNumberFormat="1" applyFont="1" applyFill="1" applyBorder="1" applyAlignment="1">
      <alignment horizontal="center"/>
    </xf>
    <xf numFmtId="2" fontId="75" fillId="9" borderId="76" xfId="0" applyNumberFormat="1" applyFont="1" applyFill="1" applyBorder="1" applyAlignment="1">
      <alignment horizontal="center"/>
    </xf>
    <xf numFmtId="0" fontId="75" fillId="9" borderId="76" xfId="0" applyFont="1" applyFill="1" applyBorder="1" applyAlignment="1">
      <alignment horizontal="center"/>
    </xf>
    <xf numFmtId="0" fontId="110" fillId="20" borderId="77" xfId="0" applyFont="1" applyFill="1" applyBorder="1" applyAlignment="1">
      <alignment horizontal="center"/>
    </xf>
    <xf numFmtId="165" fontId="75" fillId="0" borderId="76" xfId="0" applyNumberFormat="1" applyFont="1" applyBorder="1" applyAlignment="1">
      <alignment horizontal="center"/>
    </xf>
    <xf numFmtId="0" fontId="75" fillId="0" borderId="7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75" fillId="0" borderId="55" xfId="0" applyFont="1" applyBorder="1" applyAlignment="1">
      <alignment horizontal="center"/>
    </xf>
    <xf numFmtId="0" fontId="75" fillId="9" borderId="78" xfId="0" applyFont="1" applyFill="1" applyBorder="1" applyAlignment="1">
      <alignment horizontal="center"/>
    </xf>
    <xf numFmtId="2" fontId="75" fillId="0" borderId="78" xfId="0" applyNumberFormat="1" applyFont="1" applyBorder="1" applyAlignment="1">
      <alignment horizontal="center"/>
    </xf>
    <xf numFmtId="165" fontId="75" fillId="0" borderId="78" xfId="0" applyNumberFormat="1" applyFont="1" applyBorder="1" applyAlignment="1">
      <alignment horizontal="center"/>
    </xf>
    <xf numFmtId="167" fontId="75" fillId="11" borderId="78" xfId="0" applyNumberFormat="1" applyFont="1" applyFill="1" applyBorder="1" applyAlignment="1">
      <alignment horizontal="center"/>
    </xf>
    <xf numFmtId="166" fontId="75" fillId="11" borderId="78" xfId="0" applyNumberFormat="1" applyFont="1" applyFill="1" applyBorder="1" applyAlignment="1">
      <alignment horizontal="center"/>
    </xf>
    <xf numFmtId="0" fontId="28" fillId="11" borderId="78" xfId="0" applyFont="1" applyFill="1" applyBorder="1" applyAlignment="1">
      <alignment horizontal="center"/>
    </xf>
    <xf numFmtId="0" fontId="0" fillId="0" borderId="63" xfId="0" applyBorder="1"/>
    <xf numFmtId="165" fontId="75" fillId="0" borderId="65" xfId="0" applyNumberFormat="1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7" fillId="0" borderId="66" xfId="0" applyFont="1" applyBorder="1"/>
    <xf numFmtId="0" fontId="7" fillId="18" borderId="66" xfId="0" applyFont="1" applyFill="1" applyBorder="1"/>
    <xf numFmtId="0" fontId="7" fillId="19" borderId="66" xfId="0" applyFont="1" applyFill="1" applyBorder="1"/>
    <xf numFmtId="0" fontId="7" fillId="0" borderId="66" xfId="0" applyFont="1" applyBorder="1" applyAlignment="1">
      <alignment horizontal="left"/>
    </xf>
    <xf numFmtId="0" fontId="7" fillId="11" borderId="66" xfId="0" applyFont="1" applyFill="1" applyBorder="1"/>
    <xf numFmtId="0" fontId="45" fillId="11" borderId="66" xfId="0" applyFont="1" applyFill="1" applyBorder="1"/>
    <xf numFmtId="0" fontId="22" fillId="11" borderId="66" xfId="0" applyFont="1" applyFill="1" applyBorder="1"/>
    <xf numFmtId="0" fontId="2" fillId="11" borderId="66" xfId="0" applyFont="1" applyFill="1" applyBorder="1"/>
    <xf numFmtId="0" fontId="48" fillId="0" borderId="82" xfId="0" applyFont="1" applyBorder="1"/>
    <xf numFmtId="0" fontId="77" fillId="0" borderId="65" xfId="0" applyFont="1" applyBorder="1" applyAlignment="1">
      <alignment horizontal="center"/>
    </xf>
    <xf numFmtId="0" fontId="7" fillId="0" borderId="51" xfId="0" applyFont="1" applyBorder="1"/>
    <xf numFmtId="0" fontId="75" fillId="0" borderId="1" xfId="0" applyFont="1" applyBorder="1" applyAlignment="1">
      <alignment horizontal="center"/>
    </xf>
    <xf numFmtId="0" fontId="79" fillId="0" borderId="77" xfId="0" applyFont="1" applyBorder="1" applyAlignment="1">
      <alignment horizontal="center"/>
    </xf>
    <xf numFmtId="165" fontId="75" fillId="0" borderId="37" xfId="0" applyNumberFormat="1" applyFont="1" applyBorder="1" applyAlignment="1">
      <alignment horizontal="center"/>
    </xf>
    <xf numFmtId="1" fontId="75" fillId="11" borderId="72" xfId="0" applyNumberFormat="1" applyFont="1" applyFill="1" applyBorder="1" applyAlignment="1">
      <alignment horizontal="center"/>
    </xf>
    <xf numFmtId="0" fontId="75" fillId="9" borderId="72" xfId="0" applyFont="1" applyFill="1" applyBorder="1" applyAlignment="1">
      <alignment horizontal="center"/>
    </xf>
    <xf numFmtId="2" fontId="75" fillId="0" borderId="72" xfId="0" applyNumberFormat="1" applyFont="1" applyBorder="1" applyAlignment="1">
      <alignment horizontal="center"/>
    </xf>
    <xf numFmtId="165" fontId="75" fillId="0" borderId="72" xfId="0" applyNumberFormat="1" applyFont="1" applyBorder="1" applyAlignment="1">
      <alignment horizontal="center"/>
    </xf>
    <xf numFmtId="167" fontId="75" fillId="11" borderId="72" xfId="0" applyNumberFormat="1" applyFont="1" applyFill="1" applyBorder="1" applyAlignment="1">
      <alignment horizontal="center"/>
    </xf>
    <xf numFmtId="166" fontId="75" fillId="11" borderId="72" xfId="0" applyNumberFormat="1" applyFont="1" applyFill="1" applyBorder="1" applyAlignment="1">
      <alignment horizontal="center"/>
    </xf>
    <xf numFmtId="0" fontId="28" fillId="11" borderId="72" xfId="0" applyFont="1" applyFill="1" applyBorder="1" applyAlignment="1">
      <alignment horizontal="center"/>
    </xf>
    <xf numFmtId="165" fontId="75" fillId="0" borderId="68" xfId="0" applyNumberFormat="1" applyFont="1" applyBorder="1" applyAlignment="1">
      <alignment horizontal="center"/>
    </xf>
    <xf numFmtId="2" fontId="0" fillId="13" borderId="60" xfId="0" applyNumberFormat="1" applyFill="1" applyBorder="1"/>
    <xf numFmtId="0" fontId="33" fillId="6" borderId="57" xfId="0" applyFont="1" applyFill="1" applyBorder="1"/>
    <xf numFmtId="0" fontId="48" fillId="0" borderId="34" xfId="0" applyFont="1" applyBorder="1"/>
    <xf numFmtId="0" fontId="77" fillId="0" borderId="29" xfId="0" applyFont="1" applyBorder="1" applyAlignment="1">
      <alignment horizontal="center"/>
    </xf>
    <xf numFmtId="1" fontId="110" fillId="20" borderId="77" xfId="0" applyNumberFormat="1" applyFont="1" applyFill="1" applyBorder="1" applyAlignment="1">
      <alignment horizontal="center"/>
    </xf>
    <xf numFmtId="1" fontId="75" fillId="11" borderId="77" xfId="0" applyNumberFormat="1" applyFont="1" applyFill="1" applyBorder="1" applyAlignment="1">
      <alignment horizontal="center"/>
    </xf>
    <xf numFmtId="0" fontId="77" fillId="0" borderId="72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2" fontId="75" fillId="0" borderId="70" xfId="0" applyNumberFormat="1" applyFont="1" applyBorder="1" applyAlignment="1">
      <alignment horizontal="center"/>
    </xf>
    <xf numFmtId="0" fontId="75" fillId="11" borderId="70" xfId="0" applyFont="1" applyFill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75" fillId="9" borderId="70" xfId="0" applyFont="1" applyFill="1" applyBorder="1" applyAlignment="1">
      <alignment horizontal="center"/>
    </xf>
    <xf numFmtId="1" fontId="75" fillId="0" borderId="70" xfId="0" applyNumberFormat="1" applyFont="1" applyBorder="1" applyAlignment="1">
      <alignment horizontal="center"/>
    </xf>
    <xf numFmtId="165" fontId="75" fillId="0" borderId="70" xfId="0" applyNumberFormat="1" applyFont="1" applyBorder="1" applyAlignment="1">
      <alignment horizontal="center"/>
    </xf>
    <xf numFmtId="167" fontId="75" fillId="11" borderId="70" xfId="0" applyNumberFormat="1" applyFont="1" applyFill="1" applyBorder="1" applyAlignment="1">
      <alignment horizontal="center"/>
    </xf>
    <xf numFmtId="166" fontId="75" fillId="11" borderId="70" xfId="0" applyNumberFormat="1" applyFont="1" applyFill="1" applyBorder="1" applyAlignment="1">
      <alignment horizontal="center"/>
    </xf>
    <xf numFmtId="0" fontId="28" fillId="11" borderId="70" xfId="0" applyFont="1" applyFill="1" applyBorder="1" applyAlignment="1">
      <alignment horizontal="center"/>
    </xf>
    <xf numFmtId="165" fontId="75" fillId="0" borderId="71" xfId="0" applyNumberFormat="1" applyFont="1" applyBorder="1" applyAlignment="1">
      <alignment horizontal="center"/>
    </xf>
    <xf numFmtId="2" fontId="75" fillId="8" borderId="72" xfId="0" applyNumberFormat="1" applyFont="1" applyFill="1" applyBorder="1" applyAlignment="1">
      <alignment horizontal="center"/>
    </xf>
    <xf numFmtId="2" fontId="75" fillId="11" borderId="72" xfId="0" applyNumberFormat="1" applyFont="1" applyFill="1" applyBorder="1" applyAlignment="1">
      <alignment horizontal="center"/>
    </xf>
    <xf numFmtId="2" fontId="75" fillId="9" borderId="72" xfId="0" applyNumberFormat="1" applyFont="1" applyFill="1" applyBorder="1" applyAlignment="1">
      <alignment horizontal="center"/>
    </xf>
    <xf numFmtId="0" fontId="33" fillId="6" borderId="51" xfId="0" applyFont="1" applyFill="1" applyBorder="1"/>
    <xf numFmtId="0" fontId="33" fillId="6" borderId="66" xfId="0" applyFont="1" applyFill="1" applyBorder="1"/>
    <xf numFmtId="0" fontId="58" fillId="6" borderId="66" xfId="0" applyFont="1" applyFill="1" applyBorder="1"/>
    <xf numFmtId="0" fontId="2" fillId="16" borderId="66" xfId="0" applyFont="1" applyFill="1" applyBorder="1" applyAlignment="1">
      <alignment horizontal="center"/>
    </xf>
    <xf numFmtId="0" fontId="22" fillId="16" borderId="66" xfId="0" applyFont="1" applyFill="1" applyBorder="1"/>
    <xf numFmtId="0" fontId="22" fillId="25" borderId="66" xfId="0" applyFont="1" applyFill="1" applyBorder="1"/>
    <xf numFmtId="0" fontId="22" fillId="26" borderId="66" xfId="0" applyFont="1" applyFill="1" applyBorder="1"/>
    <xf numFmtId="0" fontId="2" fillId="20" borderId="66" xfId="0" applyFont="1" applyFill="1" applyBorder="1"/>
    <xf numFmtId="0" fontId="77" fillId="0" borderId="68" xfId="0" applyFont="1" applyBorder="1" applyAlignment="1">
      <alignment horizontal="center"/>
    </xf>
    <xf numFmtId="0" fontId="81" fillId="0" borderId="0" xfId="0" applyFont="1" applyAlignment="1">
      <alignment horizontal="left"/>
    </xf>
    <xf numFmtId="0" fontId="75" fillId="17" borderId="78" xfId="0" applyFont="1" applyFill="1" applyBorder="1" applyAlignment="1">
      <alignment horizontal="center"/>
    </xf>
    <xf numFmtId="0" fontId="75" fillId="8" borderId="78" xfId="0" applyFont="1" applyFill="1" applyBorder="1" applyAlignment="1">
      <alignment horizontal="center"/>
    </xf>
    <xf numFmtId="2" fontId="100" fillId="9" borderId="76" xfId="0" applyNumberFormat="1" applyFont="1" applyFill="1" applyBorder="1" applyAlignment="1">
      <alignment horizontal="center"/>
    </xf>
    <xf numFmtId="0" fontId="75" fillId="7" borderId="78" xfId="0" applyFont="1" applyFill="1" applyBorder="1" applyAlignment="1">
      <alignment horizontal="center"/>
    </xf>
    <xf numFmtId="0" fontId="75" fillId="20" borderId="78" xfId="0" applyFont="1" applyFill="1" applyBorder="1" applyAlignment="1">
      <alignment horizontal="center"/>
    </xf>
    <xf numFmtId="1" fontId="75" fillId="20" borderId="78" xfId="0" applyNumberFormat="1" applyFont="1" applyFill="1" applyBorder="1" applyAlignment="1">
      <alignment horizontal="center"/>
    </xf>
    <xf numFmtId="0" fontId="75" fillId="11" borderId="65" xfId="0" applyFont="1" applyFill="1" applyBorder="1" applyAlignment="1">
      <alignment horizontal="center"/>
    </xf>
    <xf numFmtId="165" fontId="75" fillId="9" borderId="76" xfId="0" applyNumberFormat="1" applyFont="1" applyFill="1" applyBorder="1" applyAlignment="1">
      <alignment horizontal="center"/>
    </xf>
    <xf numFmtId="165" fontId="75" fillId="0" borderId="0" xfId="0" applyNumberFormat="1" applyFont="1" applyAlignment="1">
      <alignment horizontal="center"/>
    </xf>
    <xf numFmtId="0" fontId="75" fillId="9" borderId="59" xfId="0" applyFont="1" applyFill="1" applyBorder="1" applyAlignment="1">
      <alignment horizontal="center"/>
    </xf>
    <xf numFmtId="0" fontId="46" fillId="0" borderId="33" xfId="0" applyFont="1" applyBorder="1" applyAlignment="1">
      <alignment horizontal="left"/>
    </xf>
    <xf numFmtId="2" fontId="75" fillId="11" borderId="69" xfId="0" applyNumberFormat="1" applyFont="1" applyFill="1" applyBorder="1" applyAlignment="1">
      <alignment horizontal="center"/>
    </xf>
    <xf numFmtId="2" fontId="75" fillId="9" borderId="69" xfId="0" applyNumberFormat="1" applyFont="1" applyFill="1" applyBorder="1" applyAlignment="1">
      <alignment horizontal="center"/>
    </xf>
    <xf numFmtId="167" fontId="75" fillId="0" borderId="78" xfId="0" applyNumberFormat="1" applyFont="1" applyBorder="1" applyAlignment="1">
      <alignment horizontal="center"/>
    </xf>
    <xf numFmtId="166" fontId="33" fillId="0" borderId="62" xfId="0" applyNumberFormat="1" applyFont="1" applyBorder="1"/>
    <xf numFmtId="0" fontId="75" fillId="14" borderId="76" xfId="0" applyFont="1" applyFill="1" applyBorder="1" applyAlignment="1">
      <alignment horizontal="center"/>
    </xf>
    <xf numFmtId="0" fontId="75" fillId="20" borderId="77" xfId="0" applyFont="1" applyFill="1" applyBorder="1" applyAlignment="1">
      <alignment horizontal="center"/>
    </xf>
    <xf numFmtId="0" fontId="75" fillId="11" borderId="77" xfId="0" applyFont="1" applyFill="1" applyBorder="1" applyAlignment="1">
      <alignment horizontal="center"/>
    </xf>
    <xf numFmtId="166" fontId="75" fillId="0" borderId="0" xfId="0" applyNumberFormat="1" applyFont="1" applyAlignment="1">
      <alignment horizontal="center"/>
    </xf>
    <xf numFmtId="0" fontId="2" fillId="20" borderId="86" xfId="0" applyFont="1" applyFill="1" applyBorder="1"/>
    <xf numFmtId="2" fontId="110" fillId="20" borderId="37" xfId="0" applyNumberFormat="1" applyFont="1" applyFill="1" applyBorder="1" applyAlignment="1">
      <alignment horizontal="center"/>
    </xf>
    <xf numFmtId="2" fontId="75" fillId="20" borderId="81" xfId="0" applyNumberFormat="1" applyFont="1" applyFill="1" applyBorder="1" applyAlignment="1">
      <alignment horizontal="center"/>
    </xf>
    <xf numFmtId="0" fontId="10" fillId="21" borderId="42" xfId="0" applyFont="1" applyFill="1" applyBorder="1"/>
    <xf numFmtId="0" fontId="110" fillId="11" borderId="16" xfId="0" applyFont="1" applyFill="1" applyBorder="1" applyAlignment="1">
      <alignment horizontal="center"/>
    </xf>
    <xf numFmtId="0" fontId="75" fillId="11" borderId="17" xfId="0" applyFont="1" applyFill="1" applyBorder="1" applyAlignment="1">
      <alignment horizontal="center"/>
    </xf>
    <xf numFmtId="0" fontId="75" fillId="11" borderId="32" xfId="0" applyFont="1" applyFill="1" applyBorder="1" applyAlignment="1">
      <alignment horizontal="center"/>
    </xf>
    <xf numFmtId="0" fontId="22" fillId="23" borderId="86" xfId="0" applyFont="1" applyFill="1" applyBorder="1"/>
    <xf numFmtId="0" fontId="0" fillId="23" borderId="37" xfId="0" applyFill="1" applyBorder="1"/>
    <xf numFmtId="0" fontId="75" fillId="23" borderId="81" xfId="0" applyFont="1" applyFill="1" applyBorder="1" applyAlignment="1">
      <alignment horizontal="center"/>
    </xf>
    <xf numFmtId="0" fontId="2" fillId="20" borderId="51" xfId="0" applyFont="1" applyFill="1" applyBorder="1"/>
    <xf numFmtId="0" fontId="110" fillId="20" borderId="1" xfId="0" applyFont="1" applyFill="1" applyBorder="1" applyAlignment="1">
      <alignment horizontal="center"/>
    </xf>
    <xf numFmtId="0" fontId="75" fillId="20" borderId="59" xfId="0" applyFont="1" applyFill="1" applyBorder="1" applyAlignment="1">
      <alignment horizontal="center"/>
    </xf>
    <xf numFmtId="0" fontId="75" fillId="7" borderId="17" xfId="0" applyFont="1" applyFill="1" applyBorder="1" applyAlignment="1">
      <alignment horizontal="center"/>
    </xf>
    <xf numFmtId="0" fontId="75" fillId="7" borderId="32" xfId="0" applyFont="1" applyFill="1" applyBorder="1" applyAlignment="1">
      <alignment horizontal="center"/>
    </xf>
    <xf numFmtId="0" fontId="75" fillId="8" borderId="81" xfId="0" applyFont="1" applyFill="1" applyBorder="1" applyAlignment="1">
      <alignment horizontal="center"/>
    </xf>
    <xf numFmtId="0" fontId="75" fillId="8" borderId="54" xfId="0" applyFont="1" applyFill="1" applyBorder="1" applyAlignment="1">
      <alignment horizontal="center"/>
    </xf>
    <xf numFmtId="0" fontId="22" fillId="23" borderId="51" xfId="0" applyFont="1" applyFill="1" applyBorder="1"/>
    <xf numFmtId="0" fontId="0" fillId="23" borderId="1" xfId="0" applyFill="1" applyBorder="1"/>
    <xf numFmtId="0" fontId="75" fillId="23" borderId="59" xfId="0" applyFont="1" applyFill="1" applyBorder="1" applyAlignment="1">
      <alignment horizontal="center"/>
    </xf>
    <xf numFmtId="0" fontId="75" fillId="8" borderId="17" xfId="0" applyFont="1" applyFill="1" applyBorder="1" applyAlignment="1">
      <alignment horizontal="center"/>
    </xf>
    <xf numFmtId="0" fontId="75" fillId="8" borderId="32" xfId="0" applyFont="1" applyFill="1" applyBorder="1" applyAlignment="1">
      <alignment horizontal="center"/>
    </xf>
    <xf numFmtId="0" fontId="0" fillId="17" borderId="86" xfId="0" applyFill="1" applyBorder="1"/>
    <xf numFmtId="0" fontId="75" fillId="8" borderId="59" xfId="0" applyFont="1" applyFill="1" applyBorder="1" applyAlignment="1">
      <alignment horizontal="center"/>
    </xf>
    <xf numFmtId="0" fontId="75" fillId="8" borderId="55" xfId="0" applyFont="1" applyFill="1" applyBorder="1" applyAlignment="1">
      <alignment horizontal="center"/>
    </xf>
    <xf numFmtId="0" fontId="22" fillId="13" borderId="74" xfId="0" applyFont="1" applyFill="1" applyBorder="1"/>
    <xf numFmtId="0" fontId="75" fillId="9" borderId="81" xfId="0" applyFont="1" applyFill="1" applyBorder="1" applyAlignment="1">
      <alignment horizontal="center"/>
    </xf>
    <xf numFmtId="2" fontId="100" fillId="12" borderId="80" xfId="0" applyNumberFormat="1" applyFont="1" applyFill="1" applyBorder="1" applyAlignment="1">
      <alignment horizontal="center"/>
    </xf>
    <xf numFmtId="0" fontId="7" fillId="5" borderId="51" xfId="0" applyFont="1" applyFill="1" applyBorder="1"/>
    <xf numFmtId="2" fontId="0" fillId="5" borderId="60" xfId="0" applyNumberFormat="1" applyFill="1" applyBorder="1"/>
    <xf numFmtId="0" fontId="0" fillId="12" borderId="57" xfId="0" applyFill="1" applyBorder="1"/>
    <xf numFmtId="0" fontId="2" fillId="5" borderId="87" xfId="0" applyFont="1" applyFill="1" applyBorder="1"/>
    <xf numFmtId="0" fontId="75" fillId="9" borderId="17" xfId="0" applyFont="1" applyFill="1" applyBorder="1" applyAlignment="1">
      <alignment horizontal="center"/>
    </xf>
    <xf numFmtId="2" fontId="100" fillId="12" borderId="17" xfId="0" applyNumberFormat="1" applyFont="1" applyFill="1" applyBorder="1" applyAlignment="1">
      <alignment horizontal="center"/>
    </xf>
    <xf numFmtId="0" fontId="48" fillId="26" borderId="42" xfId="0" applyFont="1" applyFill="1" applyBorder="1"/>
    <xf numFmtId="0" fontId="48" fillId="22" borderId="42" xfId="0" applyFont="1" applyFill="1" applyBorder="1"/>
    <xf numFmtId="0" fontId="48" fillId="24" borderId="42" xfId="0" applyFont="1" applyFill="1" applyBorder="1"/>
    <xf numFmtId="0" fontId="60" fillId="5" borderId="42" xfId="0" applyFont="1" applyFill="1" applyBorder="1"/>
    <xf numFmtId="0" fontId="46" fillId="0" borderId="58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6" fillId="11" borderId="62" xfId="0" applyFont="1" applyFill="1" applyBorder="1" applyAlignment="1">
      <alignment horizontal="center"/>
    </xf>
    <xf numFmtId="0" fontId="46" fillId="9" borderId="62" xfId="0" applyFont="1" applyFill="1" applyBorder="1" applyAlignment="1">
      <alignment horizontal="center"/>
    </xf>
    <xf numFmtId="166" fontId="46" fillId="0" borderId="62" xfId="0" applyNumberFormat="1" applyFont="1" applyBorder="1" applyAlignment="1">
      <alignment horizontal="center"/>
    </xf>
    <xf numFmtId="167" fontId="141" fillId="11" borderId="62" xfId="0" applyNumberFormat="1" applyFont="1" applyFill="1" applyBorder="1" applyAlignment="1">
      <alignment horizontal="center"/>
    </xf>
    <xf numFmtId="166" fontId="141" fillId="11" borderId="62" xfId="0" applyNumberFormat="1" applyFont="1" applyFill="1" applyBorder="1" applyAlignment="1">
      <alignment horizontal="center"/>
    </xf>
    <xf numFmtId="0" fontId="111" fillId="11" borderId="62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167" fontId="141" fillId="11" borderId="77" xfId="0" applyNumberFormat="1" applyFont="1" applyFill="1" applyBorder="1" applyAlignment="1">
      <alignment horizontal="center"/>
    </xf>
    <xf numFmtId="166" fontId="141" fillId="11" borderId="77" xfId="0" applyNumberFormat="1" applyFont="1" applyFill="1" applyBorder="1" applyAlignment="1">
      <alignment horizontal="center"/>
    </xf>
    <xf numFmtId="0" fontId="111" fillId="11" borderId="77" xfId="0" applyFont="1" applyFill="1" applyBorder="1" applyAlignment="1">
      <alignment horizontal="center"/>
    </xf>
    <xf numFmtId="0" fontId="54" fillId="0" borderId="63" xfId="0" applyFont="1" applyBorder="1"/>
    <xf numFmtId="0" fontId="75" fillId="0" borderId="4" xfId="0" applyFont="1" applyBorder="1" applyAlignment="1">
      <alignment horizontal="center"/>
    </xf>
    <xf numFmtId="165" fontId="75" fillId="0" borderId="77" xfId="0" applyNumberFormat="1" applyFont="1" applyBorder="1" applyAlignment="1">
      <alignment horizontal="center"/>
    </xf>
    <xf numFmtId="0" fontId="75" fillId="9" borderId="77" xfId="0" applyFont="1" applyFill="1" applyBorder="1" applyAlignment="1">
      <alignment horizontal="center"/>
    </xf>
    <xf numFmtId="2" fontId="75" fillId="0" borderId="77" xfId="0" applyNumberFormat="1" applyFont="1" applyBorder="1" applyAlignment="1">
      <alignment horizontal="center"/>
    </xf>
    <xf numFmtId="1" fontId="75" fillId="0" borderId="77" xfId="0" applyNumberFormat="1" applyFont="1" applyBorder="1" applyAlignment="1">
      <alignment horizontal="center"/>
    </xf>
    <xf numFmtId="165" fontId="75" fillId="0" borderId="75" xfId="0" applyNumberFormat="1" applyFont="1" applyBorder="1" applyAlignment="1">
      <alignment horizontal="center"/>
    </xf>
    <xf numFmtId="0" fontId="46" fillId="11" borderId="76" xfId="0" applyFont="1" applyFill="1" applyBorder="1" applyAlignment="1">
      <alignment horizontal="center"/>
    </xf>
    <xf numFmtId="0" fontId="46" fillId="0" borderId="57" xfId="0" applyFont="1" applyBorder="1" applyAlignment="1">
      <alignment horizontal="center"/>
    </xf>
    <xf numFmtId="2" fontId="75" fillId="0" borderId="8" xfId="0" applyNumberFormat="1" applyFont="1" applyBorder="1" applyAlignment="1">
      <alignment horizontal="center"/>
    </xf>
    <xf numFmtId="2" fontId="75" fillId="11" borderId="70" xfId="0" applyNumberFormat="1" applyFont="1" applyFill="1" applyBorder="1" applyAlignment="1">
      <alignment horizontal="center"/>
    </xf>
    <xf numFmtId="2" fontId="75" fillId="9" borderId="70" xfId="0" applyNumberFormat="1" applyFont="1" applyFill="1" applyBorder="1" applyAlignment="1">
      <alignment horizontal="center"/>
    </xf>
    <xf numFmtId="168" fontId="126" fillId="0" borderId="67" xfId="0" applyNumberFormat="1" applyFont="1" applyBorder="1" applyAlignment="1">
      <alignment horizontal="center"/>
    </xf>
    <xf numFmtId="167" fontId="126" fillId="0" borderId="72" xfId="0" applyNumberFormat="1" applyFont="1" applyBorder="1" applyAlignment="1">
      <alignment horizontal="center"/>
    </xf>
    <xf numFmtId="0" fontId="29" fillId="0" borderId="76" xfId="0" applyFont="1" applyBorder="1"/>
    <xf numFmtId="0" fontId="81" fillId="0" borderId="0" xfId="0" applyFont="1"/>
    <xf numFmtId="164" fontId="81" fillId="0" borderId="0" xfId="0" applyNumberFormat="1" applyFont="1" applyAlignment="1">
      <alignment horizontal="left"/>
    </xf>
    <xf numFmtId="0" fontId="0" fillId="14" borderId="4" xfId="0" applyFill="1" applyBorder="1"/>
    <xf numFmtId="0" fontId="0" fillId="14" borderId="77" xfId="0" applyFill="1" applyBorder="1"/>
    <xf numFmtId="0" fontId="0" fillId="14" borderId="37" xfId="0" applyFill="1" applyBorder="1"/>
    <xf numFmtId="0" fontId="0" fillId="14" borderId="16" xfId="0" applyFill="1" applyBorder="1"/>
    <xf numFmtId="0" fontId="0" fillId="9" borderId="1" xfId="0" applyFill="1" applyBorder="1"/>
    <xf numFmtId="0" fontId="46" fillId="0" borderId="77" xfId="0" applyFont="1" applyBorder="1" applyAlignment="1">
      <alignment horizontal="center"/>
    </xf>
    <xf numFmtId="0" fontId="75" fillId="20" borderId="1" xfId="0" applyFont="1" applyFill="1" applyBorder="1" applyAlignment="1">
      <alignment horizontal="center"/>
    </xf>
    <xf numFmtId="1" fontId="75" fillId="20" borderId="77" xfId="0" applyNumberFormat="1" applyFont="1" applyFill="1" applyBorder="1" applyAlignment="1">
      <alignment horizontal="center"/>
    </xf>
    <xf numFmtId="2" fontId="75" fillId="20" borderId="37" xfId="0" applyNumberFormat="1" applyFont="1" applyFill="1" applyBorder="1" applyAlignment="1">
      <alignment horizontal="center"/>
    </xf>
    <xf numFmtId="0" fontId="75" fillId="11" borderId="16" xfId="0" applyFont="1" applyFill="1" applyBorder="1" applyAlignment="1">
      <alignment horizontal="center"/>
    </xf>
    <xf numFmtId="0" fontId="46" fillId="0" borderId="79" xfId="0" applyFont="1" applyBorder="1" applyAlignment="1">
      <alignment horizontal="center"/>
    </xf>
    <xf numFmtId="2" fontId="75" fillId="0" borderId="54" xfId="0" applyNumberFormat="1" applyFont="1" applyBorder="1" applyAlignment="1">
      <alignment horizontal="center"/>
    </xf>
    <xf numFmtId="2" fontId="29" fillId="0" borderId="32" xfId="0" applyNumberFormat="1" applyFont="1" applyBorder="1"/>
    <xf numFmtId="0" fontId="29" fillId="0" borderId="55" xfId="0" applyFont="1" applyBorder="1"/>
    <xf numFmtId="0" fontId="141" fillId="0" borderId="70" xfId="0" applyFont="1" applyBorder="1" applyAlignment="1">
      <alignment horizontal="center"/>
    </xf>
    <xf numFmtId="2" fontId="29" fillId="8" borderId="54" xfId="0" applyNumberFormat="1" applyFont="1" applyFill="1" applyBorder="1" applyAlignment="1">
      <alignment horizontal="center"/>
    </xf>
    <xf numFmtId="2" fontId="29" fillId="8" borderId="32" xfId="0" applyNumberFormat="1" applyFont="1" applyFill="1" applyBorder="1" applyAlignment="1">
      <alignment horizontal="center"/>
    </xf>
    <xf numFmtId="2" fontId="29" fillId="7" borderId="55" xfId="0" applyNumberFormat="1" applyFont="1" applyFill="1" applyBorder="1" applyAlignment="1">
      <alignment horizontal="center"/>
    </xf>
    <xf numFmtId="2" fontId="29" fillId="7" borderId="54" xfId="0" applyNumberFormat="1" applyFont="1" applyFill="1" applyBorder="1" applyAlignment="1">
      <alignment horizontal="center"/>
    </xf>
    <xf numFmtId="2" fontId="29" fillId="7" borderId="32" xfId="0" applyNumberFormat="1" applyFont="1" applyFill="1" applyBorder="1" applyAlignment="1">
      <alignment horizontal="center"/>
    </xf>
    <xf numFmtId="2" fontId="29" fillId="0" borderId="55" xfId="0" applyNumberFormat="1" applyFont="1" applyBorder="1" applyAlignment="1">
      <alignment horizontal="center"/>
    </xf>
    <xf numFmtId="2" fontId="29" fillId="0" borderId="70" xfId="0" applyNumberFormat="1" applyFont="1" applyBorder="1" applyAlignment="1">
      <alignment horizontal="center"/>
    </xf>
    <xf numFmtId="2" fontId="29" fillId="0" borderId="54" xfId="0" applyNumberFormat="1" applyFont="1" applyBorder="1" applyAlignment="1">
      <alignment horizontal="center"/>
    </xf>
    <xf numFmtId="167" fontId="46" fillId="11" borderId="62" xfId="0" applyNumberFormat="1" applyFont="1" applyFill="1" applyBorder="1" applyAlignment="1">
      <alignment horizontal="center"/>
    </xf>
    <xf numFmtId="2" fontId="46" fillId="0" borderId="76" xfId="0" applyNumberFormat="1" applyFont="1" applyBorder="1" applyAlignment="1">
      <alignment horizontal="center"/>
    </xf>
    <xf numFmtId="166" fontId="64" fillId="0" borderId="62" xfId="0" applyNumberFormat="1" applyFont="1" applyBorder="1" applyAlignment="1">
      <alignment horizontal="center"/>
    </xf>
    <xf numFmtId="0" fontId="33" fillId="0" borderId="58" xfId="0" applyFont="1" applyBorder="1"/>
    <xf numFmtId="0" fontId="33" fillId="0" borderId="79" xfId="0" applyFont="1" applyBorder="1"/>
    <xf numFmtId="0" fontId="33" fillId="0" borderId="61" xfId="0" applyFont="1" applyBorder="1"/>
    <xf numFmtId="0" fontId="50" fillId="0" borderId="67" xfId="0" applyFont="1" applyBorder="1"/>
    <xf numFmtId="0" fontId="143" fillId="0" borderId="62" xfId="0" applyFont="1" applyBorder="1" applyAlignment="1">
      <alignment horizontal="center"/>
    </xf>
    <xf numFmtId="0" fontId="143" fillId="0" borderId="79" xfId="0" applyFont="1" applyBorder="1" applyAlignment="1">
      <alignment horizontal="center"/>
    </xf>
    <xf numFmtId="0" fontId="143" fillId="0" borderId="58" xfId="0" applyFont="1" applyBorder="1" applyAlignment="1">
      <alignment horizontal="center"/>
    </xf>
    <xf numFmtId="2" fontId="64" fillId="0" borderId="62" xfId="0" applyNumberFormat="1" applyFont="1" applyBorder="1" applyAlignment="1">
      <alignment horizontal="center"/>
    </xf>
    <xf numFmtId="0" fontId="143" fillId="11" borderId="88" xfId="0" applyFont="1" applyFill="1" applyBorder="1" applyAlignment="1">
      <alignment horizontal="center"/>
    </xf>
    <xf numFmtId="1" fontId="33" fillId="0" borderId="0" xfId="0" applyNumberFormat="1" applyFont="1"/>
    <xf numFmtId="0" fontId="50" fillId="0" borderId="58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166" fontId="50" fillId="0" borderId="62" xfId="0" applyNumberFormat="1" applyFont="1" applyBorder="1" applyAlignment="1">
      <alignment horizontal="center"/>
    </xf>
    <xf numFmtId="0" fontId="50" fillId="27" borderId="61" xfId="0" applyFont="1" applyFill="1" applyBorder="1" applyAlignment="1">
      <alignment horizontal="center"/>
    </xf>
    <xf numFmtId="0" fontId="50" fillId="8" borderId="61" xfId="0" applyFont="1" applyFill="1" applyBorder="1" applyAlignment="1">
      <alignment horizontal="center"/>
    </xf>
    <xf numFmtId="0" fontId="50" fillId="7" borderId="61" xfId="0" applyFont="1" applyFill="1" applyBorder="1" applyAlignment="1">
      <alignment horizontal="center"/>
    </xf>
    <xf numFmtId="0" fontId="50" fillId="11" borderId="61" xfId="0" applyFont="1" applyFill="1" applyBorder="1" applyAlignment="1">
      <alignment horizontal="center"/>
    </xf>
    <xf numFmtId="0" fontId="50" fillId="0" borderId="33" xfId="0" applyFont="1" applyBorder="1" applyAlignment="1">
      <alignment horizontal="left"/>
    </xf>
    <xf numFmtId="0" fontId="50" fillId="0" borderId="82" xfId="0" applyFont="1" applyBorder="1"/>
    <xf numFmtId="0" fontId="50" fillId="0" borderId="57" xfId="0" applyFont="1" applyBorder="1" applyAlignment="1">
      <alignment horizontal="center"/>
    </xf>
    <xf numFmtId="0" fontId="50" fillId="0" borderId="76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48" fillId="0" borderId="15" xfId="0" applyFont="1" applyBorder="1"/>
    <xf numFmtId="0" fontId="75" fillId="0" borderId="54" xfId="0" applyFont="1" applyBorder="1" applyAlignment="1">
      <alignment horizontal="center"/>
    </xf>
    <xf numFmtId="0" fontId="75" fillId="7" borderId="55" xfId="0" applyFont="1" applyFill="1" applyBorder="1" applyAlignment="1">
      <alignment horizontal="center"/>
    </xf>
    <xf numFmtId="0" fontId="75" fillId="7" borderId="54" xfId="0" applyFont="1" applyFill="1" applyBorder="1" applyAlignment="1">
      <alignment horizontal="center"/>
    </xf>
    <xf numFmtId="2" fontId="100" fillId="12" borderId="24" xfId="0" applyNumberFormat="1" applyFont="1" applyFill="1" applyBorder="1" applyAlignment="1">
      <alignment horizontal="center"/>
    </xf>
    <xf numFmtId="2" fontId="100" fillId="12" borderId="78" xfId="0" applyNumberFormat="1" applyFont="1" applyFill="1" applyBorder="1" applyAlignment="1">
      <alignment horizontal="center"/>
    </xf>
    <xf numFmtId="2" fontId="100" fillId="12" borderId="81" xfId="0" applyNumberFormat="1" applyFont="1" applyFill="1" applyBorder="1" applyAlignment="1">
      <alignment horizontal="center"/>
    </xf>
    <xf numFmtId="0" fontId="0" fillId="12" borderId="59" xfId="0" applyFill="1" applyBorder="1"/>
    <xf numFmtId="0" fontId="50" fillId="0" borderId="63" xfId="0" applyFont="1" applyBorder="1" applyAlignment="1">
      <alignment horizontal="center"/>
    </xf>
    <xf numFmtId="0" fontId="75" fillId="0" borderId="65" xfId="0" applyFont="1" applyBorder="1" applyAlignment="1">
      <alignment horizontal="center"/>
    </xf>
    <xf numFmtId="0" fontId="75" fillId="0" borderId="81" xfId="0" applyFont="1" applyBorder="1" applyAlignment="1">
      <alignment horizontal="center"/>
    </xf>
    <xf numFmtId="0" fontId="75" fillId="0" borderId="59" xfId="0" applyFont="1" applyBorder="1" applyAlignment="1">
      <alignment horizontal="center"/>
    </xf>
    <xf numFmtId="2" fontId="29" fillId="11" borderId="32" xfId="0" applyNumberFormat="1" applyFont="1" applyFill="1" applyBorder="1" applyAlignment="1">
      <alignment horizontal="center"/>
    </xf>
    <xf numFmtId="0" fontId="75" fillId="27" borderId="17" xfId="0" applyFont="1" applyFill="1" applyBorder="1" applyAlignment="1">
      <alignment horizontal="center"/>
    </xf>
    <xf numFmtId="0" fontId="75" fillId="27" borderId="78" xfId="0" applyFont="1" applyFill="1" applyBorder="1" applyAlignment="1">
      <alignment horizontal="center"/>
    </xf>
    <xf numFmtId="0" fontId="75" fillId="7" borderId="59" xfId="0" applyFont="1" applyFill="1" applyBorder="1" applyAlignment="1">
      <alignment horizontal="center"/>
    </xf>
    <xf numFmtId="0" fontId="75" fillId="11" borderId="78" xfId="0" applyFont="1" applyFill="1" applyBorder="1" applyAlignment="1">
      <alignment horizontal="center"/>
    </xf>
    <xf numFmtId="2" fontId="75" fillId="15" borderId="77" xfId="0" applyNumberFormat="1" applyFont="1" applyFill="1" applyBorder="1" applyAlignment="1">
      <alignment horizontal="center"/>
    </xf>
    <xf numFmtId="0" fontId="77" fillId="0" borderId="17" xfId="0" applyFont="1" applyBorder="1" applyAlignment="1">
      <alignment horizontal="center"/>
    </xf>
    <xf numFmtId="2" fontId="75" fillId="8" borderId="70" xfId="0" applyNumberFormat="1" applyFont="1" applyFill="1" applyBorder="1" applyAlignment="1">
      <alignment horizontal="center"/>
    </xf>
    <xf numFmtId="2" fontId="75" fillId="15" borderId="70" xfId="0" applyNumberFormat="1" applyFont="1" applyFill="1" applyBorder="1" applyAlignment="1">
      <alignment horizontal="center"/>
    </xf>
    <xf numFmtId="0" fontId="50" fillId="0" borderId="84" xfId="0" applyFont="1" applyBorder="1" applyAlignment="1">
      <alignment horizontal="center"/>
    </xf>
    <xf numFmtId="2" fontId="75" fillId="8" borderId="8" xfId="0" applyNumberFormat="1" applyFont="1" applyFill="1" applyBorder="1" applyAlignment="1">
      <alignment horizontal="center"/>
    </xf>
    <xf numFmtId="0" fontId="50" fillId="11" borderId="62" xfId="0" applyFont="1" applyFill="1" applyBorder="1" applyAlignment="1">
      <alignment horizontal="center"/>
    </xf>
    <xf numFmtId="0" fontId="50" fillId="9" borderId="62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50" fillId="8" borderId="62" xfId="0" applyFont="1" applyFill="1" applyBorder="1" applyAlignment="1">
      <alignment horizontal="center"/>
    </xf>
    <xf numFmtId="0" fontId="50" fillId="8" borderId="63" xfId="0" applyFont="1" applyFill="1" applyBorder="1" applyAlignment="1">
      <alignment horizontal="center"/>
    </xf>
    <xf numFmtId="0" fontId="46" fillId="8" borderId="28" xfId="0" applyFont="1" applyFill="1" applyBorder="1" applyAlignment="1">
      <alignment horizontal="center"/>
    </xf>
    <xf numFmtId="0" fontId="77" fillId="8" borderId="65" xfId="0" applyFont="1" applyFill="1" applyBorder="1" applyAlignment="1">
      <alignment horizontal="center"/>
    </xf>
    <xf numFmtId="0" fontId="50" fillId="8" borderId="79" xfId="0" applyFont="1" applyFill="1" applyBorder="1" applyAlignment="1">
      <alignment horizontal="center"/>
    </xf>
    <xf numFmtId="2" fontId="75" fillId="15" borderId="54" xfId="0" applyNumberFormat="1" applyFont="1" applyFill="1" applyBorder="1" applyAlignment="1">
      <alignment horizontal="center"/>
    </xf>
    <xf numFmtId="2" fontId="75" fillId="8" borderId="71" xfId="0" applyNumberFormat="1" applyFont="1" applyFill="1" applyBorder="1" applyAlignment="1">
      <alignment horizontal="center"/>
    </xf>
    <xf numFmtId="1" fontId="46" fillId="0" borderId="63" xfId="0" applyNumberFormat="1" applyFont="1" applyBorder="1" applyAlignment="1">
      <alignment horizontal="center"/>
    </xf>
    <xf numFmtId="1" fontId="75" fillId="0" borderId="71" xfId="0" applyNumberFormat="1" applyFont="1" applyBorder="1" applyAlignment="1">
      <alignment horizontal="center"/>
    </xf>
    <xf numFmtId="0" fontId="50" fillId="8" borderId="58" xfId="0" applyFont="1" applyFill="1" applyBorder="1" applyAlignment="1">
      <alignment horizontal="center"/>
    </xf>
    <xf numFmtId="166" fontId="50" fillId="8" borderId="62" xfId="0" applyNumberFormat="1" applyFont="1" applyFill="1" applyBorder="1" applyAlignment="1">
      <alignment horizontal="center"/>
    </xf>
    <xf numFmtId="0" fontId="46" fillId="8" borderId="17" xfId="0" applyFont="1" applyFill="1" applyBorder="1" applyAlignment="1">
      <alignment horizontal="center"/>
    </xf>
    <xf numFmtId="0" fontId="77" fillId="8" borderId="83" xfId="0" applyFont="1" applyFill="1" applyBorder="1" applyAlignment="1">
      <alignment horizontal="center"/>
    </xf>
    <xf numFmtId="0" fontId="2" fillId="28" borderId="51" xfId="0" applyFont="1" applyFill="1" applyBorder="1" applyAlignment="1">
      <alignment horizontal="center"/>
    </xf>
    <xf numFmtId="0" fontId="22" fillId="28" borderId="66" xfId="0" applyFont="1" applyFill="1" applyBorder="1"/>
    <xf numFmtId="0" fontId="22" fillId="29" borderId="86" xfId="0" applyFont="1" applyFill="1" applyBorder="1"/>
    <xf numFmtId="0" fontId="77" fillId="30" borderId="60" xfId="0" applyFont="1" applyFill="1" applyBorder="1" applyAlignment="1">
      <alignment horizontal="center"/>
    </xf>
    <xf numFmtId="0" fontId="75" fillId="30" borderId="59" xfId="0" applyFont="1" applyFill="1" applyBorder="1" applyAlignment="1">
      <alignment horizontal="center"/>
    </xf>
    <xf numFmtId="0" fontId="75" fillId="28" borderId="78" xfId="0" applyFont="1" applyFill="1" applyBorder="1" applyAlignment="1">
      <alignment horizontal="center"/>
    </xf>
    <xf numFmtId="0" fontId="75" fillId="30" borderId="17" xfId="0" applyFont="1" applyFill="1" applyBorder="1" applyAlignment="1">
      <alignment horizontal="center"/>
    </xf>
    <xf numFmtId="0" fontId="48" fillId="30" borderId="42" xfId="0" applyFont="1" applyFill="1" applyBorder="1"/>
    <xf numFmtId="0" fontId="75" fillId="30" borderId="16" xfId="0" applyFont="1" applyFill="1" applyBorder="1" applyAlignment="1">
      <alignment horizontal="center"/>
    </xf>
    <xf numFmtId="0" fontId="141" fillId="30" borderId="55" xfId="0" applyFont="1" applyFill="1" applyBorder="1" applyAlignment="1">
      <alignment horizontal="center"/>
    </xf>
    <xf numFmtId="2" fontId="29" fillId="30" borderId="70" xfId="0" applyNumberFormat="1" applyFont="1" applyFill="1" applyBorder="1" applyAlignment="1">
      <alignment horizontal="center"/>
    </xf>
    <xf numFmtId="2" fontId="29" fillId="30" borderId="54" xfId="0" applyNumberFormat="1" applyFont="1" applyFill="1" applyBorder="1" applyAlignment="1">
      <alignment horizontal="center"/>
    </xf>
    <xf numFmtId="2" fontId="29" fillId="30" borderId="32" xfId="0" applyNumberFormat="1" applyFont="1" applyFill="1" applyBorder="1" applyAlignment="1">
      <alignment horizontal="center"/>
    </xf>
    <xf numFmtId="0" fontId="75" fillId="30" borderId="55" xfId="0" applyFont="1" applyFill="1" applyBorder="1" applyAlignment="1">
      <alignment horizontal="center"/>
    </xf>
    <xf numFmtId="0" fontId="75" fillId="30" borderId="70" xfId="0" applyFont="1" applyFill="1" applyBorder="1" applyAlignment="1">
      <alignment horizontal="center"/>
    </xf>
    <xf numFmtId="0" fontId="75" fillId="30" borderId="54" xfId="0" applyFont="1" applyFill="1" applyBorder="1" applyAlignment="1">
      <alignment horizontal="center"/>
    </xf>
    <xf numFmtId="0" fontId="75" fillId="30" borderId="32" xfId="0" applyFont="1" applyFill="1" applyBorder="1" applyAlignment="1">
      <alignment horizontal="center"/>
    </xf>
    <xf numFmtId="0" fontId="50" fillId="30" borderId="61" xfId="0" applyFont="1" applyFill="1" applyBorder="1" applyAlignment="1">
      <alignment horizontal="center"/>
    </xf>
    <xf numFmtId="0" fontId="50" fillId="8" borderId="15" xfId="0" applyFont="1" applyFill="1" applyBorder="1"/>
    <xf numFmtId="0" fontId="50" fillId="8" borderId="18" xfId="0" applyFont="1" applyFill="1" applyBorder="1"/>
    <xf numFmtId="0" fontId="50" fillId="8" borderId="82" xfId="0" applyFont="1" applyFill="1" applyBorder="1" applyAlignment="1">
      <alignment horizontal="center"/>
    </xf>
    <xf numFmtId="0" fontId="50" fillId="8" borderId="25" xfId="0" applyFont="1" applyFill="1" applyBorder="1" applyAlignment="1">
      <alignment horizontal="center"/>
    </xf>
    <xf numFmtId="0" fontId="142" fillId="7" borderId="87" xfId="0" applyFont="1" applyFill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47" fillId="7" borderId="16" xfId="0" applyFont="1" applyFill="1" applyBorder="1" applyAlignment="1">
      <alignment horizontal="center"/>
    </xf>
    <xf numFmtId="0" fontId="75" fillId="30" borderId="65" xfId="0" applyFont="1" applyFill="1" applyBorder="1" applyAlignment="1">
      <alignment horizontal="center"/>
    </xf>
    <xf numFmtId="0" fontId="53" fillId="0" borderId="77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53" fillId="27" borderId="16" xfId="0" applyFont="1" applyFill="1" applyBorder="1" applyAlignment="1">
      <alignment horizontal="center"/>
    </xf>
    <xf numFmtId="0" fontId="2" fillId="31" borderId="66" xfId="0" applyFont="1" applyFill="1" applyBorder="1" applyAlignment="1">
      <alignment horizontal="center"/>
    </xf>
    <xf numFmtId="0" fontId="22" fillId="31" borderId="66" xfId="0" applyFont="1" applyFill="1" applyBorder="1"/>
    <xf numFmtId="0" fontId="22" fillId="32" borderId="66" xfId="0" applyFont="1" applyFill="1" applyBorder="1"/>
    <xf numFmtId="0" fontId="22" fillId="33" borderId="66" xfId="0" applyFont="1" applyFill="1" applyBorder="1"/>
    <xf numFmtId="0" fontId="0" fillId="34" borderId="86" xfId="0" applyFill="1" applyBorder="1"/>
    <xf numFmtId="0" fontId="48" fillId="33" borderId="42" xfId="0" applyFont="1" applyFill="1" applyBorder="1"/>
    <xf numFmtId="0" fontId="0" fillId="31" borderId="72" xfId="0" applyFill="1" applyBorder="1"/>
    <xf numFmtId="0" fontId="0" fillId="34" borderId="72" xfId="0" applyFill="1" applyBorder="1"/>
    <xf numFmtId="0" fontId="0" fillId="34" borderId="74" xfId="0" applyFill="1" applyBorder="1"/>
    <xf numFmtId="0" fontId="29" fillId="34" borderId="87" xfId="0" applyFont="1" applyFill="1" applyBorder="1" applyAlignment="1">
      <alignment horizontal="center"/>
    </xf>
    <xf numFmtId="0" fontId="75" fillId="31" borderId="78" xfId="0" applyFont="1" applyFill="1" applyBorder="1" applyAlignment="1">
      <alignment horizontal="center"/>
    </xf>
    <xf numFmtId="0" fontId="75" fillId="34" borderId="78" xfId="0" applyFont="1" applyFill="1" applyBorder="1" applyAlignment="1">
      <alignment horizontal="center"/>
    </xf>
    <xf numFmtId="0" fontId="75" fillId="34" borderId="81" xfId="0" applyFont="1" applyFill="1" applyBorder="1" applyAlignment="1">
      <alignment horizontal="center"/>
    </xf>
    <xf numFmtId="0" fontId="75" fillId="34" borderId="17" xfId="0" applyFont="1" applyFill="1" applyBorder="1" applyAlignment="1">
      <alignment horizontal="center"/>
    </xf>
    <xf numFmtId="0" fontId="75" fillId="31" borderId="77" xfId="0" applyFont="1" applyFill="1" applyBorder="1" applyAlignment="1">
      <alignment horizontal="center"/>
    </xf>
    <xf numFmtId="0" fontId="75" fillId="34" borderId="77" xfId="0" applyFont="1" applyFill="1" applyBorder="1" applyAlignment="1">
      <alignment horizontal="center"/>
    </xf>
    <xf numFmtId="0" fontId="75" fillId="34" borderId="37" xfId="0" applyFont="1" applyFill="1" applyBorder="1" applyAlignment="1">
      <alignment horizontal="center"/>
    </xf>
    <xf numFmtId="0" fontId="75" fillId="34" borderId="16" xfId="0" applyFont="1" applyFill="1" applyBorder="1" applyAlignment="1">
      <alignment horizontal="center"/>
    </xf>
    <xf numFmtId="2" fontId="29" fillId="34" borderId="70" xfId="0" applyNumberFormat="1" applyFont="1" applyFill="1" applyBorder="1" applyAlignment="1">
      <alignment horizontal="center"/>
    </xf>
    <xf numFmtId="0" fontId="29" fillId="34" borderId="54" xfId="0" applyFont="1" applyFill="1" applyBorder="1"/>
    <xf numFmtId="2" fontId="29" fillId="34" borderId="32" xfId="0" applyNumberFormat="1" applyFont="1" applyFill="1" applyBorder="1" applyAlignment="1">
      <alignment horizontal="center"/>
    </xf>
    <xf numFmtId="0" fontId="75" fillId="34" borderId="70" xfId="0" applyFont="1" applyFill="1" applyBorder="1" applyAlignment="1">
      <alignment horizontal="center"/>
    </xf>
    <xf numFmtId="0" fontId="75" fillId="34" borderId="54" xfId="0" applyFont="1" applyFill="1" applyBorder="1" applyAlignment="1">
      <alignment horizontal="center"/>
    </xf>
    <xf numFmtId="0" fontId="75" fillId="34" borderId="32" xfId="0" applyFont="1" applyFill="1" applyBorder="1" applyAlignment="1">
      <alignment horizontal="center"/>
    </xf>
    <xf numFmtId="0" fontId="143" fillId="34" borderId="61" xfId="0" applyFont="1" applyFill="1" applyBorder="1" applyAlignment="1">
      <alignment horizontal="center"/>
    </xf>
    <xf numFmtId="0" fontId="33" fillId="34" borderId="61" xfId="0" applyFont="1" applyFill="1" applyBorder="1"/>
    <xf numFmtId="0" fontId="50" fillId="34" borderId="61" xfId="0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77" fillId="30" borderId="24" xfId="0" applyFont="1" applyFill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82" xfId="0" applyFont="1" applyBorder="1" applyAlignment="1">
      <alignment horizontal="center"/>
    </xf>
    <xf numFmtId="0" fontId="75" fillId="28" borderId="72" xfId="0" applyFont="1" applyFill="1" applyBorder="1" applyAlignment="1">
      <alignment horizontal="center"/>
    </xf>
    <xf numFmtId="0" fontId="75" fillId="30" borderId="68" xfId="0" applyFont="1" applyFill="1" applyBorder="1" applyAlignment="1">
      <alignment horizontal="center"/>
    </xf>
    <xf numFmtId="0" fontId="143" fillId="11" borderId="61" xfId="0" applyFont="1" applyFill="1" applyBorder="1" applyAlignment="1">
      <alignment horizontal="center"/>
    </xf>
    <xf numFmtId="2" fontId="100" fillId="20" borderId="72" xfId="0" applyNumberFormat="1" applyFont="1" applyFill="1" applyBorder="1"/>
    <xf numFmtId="0" fontId="141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28" fillId="11" borderId="80" xfId="0" applyFont="1" applyFill="1" applyBorder="1" applyAlignment="1">
      <alignment horizontal="center"/>
    </xf>
    <xf numFmtId="167" fontId="126" fillId="0" borderId="67" xfId="0" applyNumberFormat="1" applyFont="1" applyBorder="1" applyAlignment="1">
      <alignment horizontal="center"/>
    </xf>
    <xf numFmtId="168" fontId="46" fillId="0" borderId="62" xfId="0" applyNumberFormat="1" applyFont="1" applyBorder="1" applyAlignment="1">
      <alignment horizontal="center"/>
    </xf>
    <xf numFmtId="2" fontId="50" fillId="11" borderId="61" xfId="0" applyNumberFormat="1" applyFont="1" applyFill="1" applyBorder="1" applyAlignment="1">
      <alignment horizontal="center"/>
    </xf>
    <xf numFmtId="0" fontId="50" fillId="7" borderId="58" xfId="0" applyFont="1" applyFill="1" applyBorder="1" applyAlignment="1">
      <alignment horizontal="center"/>
    </xf>
    <xf numFmtId="0" fontId="50" fillId="30" borderId="58" xfId="0" applyFont="1" applyFill="1" applyBorder="1" applyAlignment="1">
      <alignment horizontal="center"/>
    </xf>
    <xf numFmtId="166" fontId="50" fillId="30" borderId="62" xfId="0" applyNumberFormat="1" applyFont="1" applyFill="1" applyBorder="1" applyAlignment="1">
      <alignment horizontal="center"/>
    </xf>
    <xf numFmtId="0" fontId="75" fillId="30" borderId="78" xfId="0" applyFont="1" applyFill="1" applyBorder="1" applyAlignment="1">
      <alignment horizontal="center"/>
    </xf>
    <xf numFmtId="166" fontId="50" fillId="17" borderId="62" xfId="0" applyNumberFormat="1" applyFont="1" applyFill="1" applyBorder="1" applyAlignment="1">
      <alignment horizontal="center"/>
    </xf>
    <xf numFmtId="166" fontId="50" fillId="11" borderId="62" xfId="0" applyNumberFormat="1" applyFont="1" applyFill="1" applyBorder="1" applyAlignment="1">
      <alignment horizontal="center"/>
    </xf>
    <xf numFmtId="0" fontId="46" fillId="8" borderId="0" xfId="0" applyFont="1" applyFill="1" applyAlignment="1">
      <alignment horizontal="center"/>
    </xf>
    <xf numFmtId="0" fontId="33" fillId="6" borderId="56" xfId="0" applyFont="1" applyFill="1" applyBorder="1"/>
    <xf numFmtId="0" fontId="50" fillId="8" borderId="76" xfId="0" applyFont="1" applyFill="1" applyBorder="1" applyAlignment="1">
      <alignment horizontal="center"/>
    </xf>
    <xf numFmtId="0" fontId="60" fillId="35" borderId="42" xfId="0" applyFont="1" applyFill="1" applyBorder="1"/>
    <xf numFmtId="0" fontId="50" fillId="8" borderId="80" xfId="0" applyFont="1" applyFill="1" applyBorder="1" applyAlignment="1">
      <alignment horizontal="center"/>
    </xf>
    <xf numFmtId="2" fontId="50" fillId="12" borderId="61" xfId="0" applyNumberFormat="1" applyFont="1" applyFill="1" applyBorder="1" applyAlignment="1">
      <alignment horizontal="center"/>
    </xf>
    <xf numFmtId="2" fontId="75" fillId="12" borderId="17" xfId="0" applyNumberFormat="1" applyFont="1" applyFill="1" applyBorder="1" applyAlignment="1">
      <alignment horizontal="center"/>
    </xf>
    <xf numFmtId="165" fontId="143" fillId="0" borderId="79" xfId="0" applyNumberFormat="1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11" borderId="69" xfId="0" applyFont="1" applyFill="1" applyBorder="1" applyAlignment="1">
      <alignment horizontal="center"/>
    </xf>
    <xf numFmtId="166" fontId="46" fillId="0" borderId="69" xfId="0" applyNumberFormat="1" applyFont="1" applyBorder="1" applyAlignment="1">
      <alignment horizontal="center"/>
    </xf>
    <xf numFmtId="1" fontId="75" fillId="0" borderId="78" xfId="0" applyNumberFormat="1" applyFont="1" applyBorder="1" applyAlignment="1">
      <alignment horizontal="center"/>
    </xf>
    <xf numFmtId="167" fontId="141" fillId="11" borderId="67" xfId="0" applyNumberFormat="1" applyFont="1" applyFill="1" applyBorder="1" applyAlignment="1">
      <alignment horizontal="center"/>
    </xf>
    <xf numFmtId="166" fontId="141" fillId="11" borderId="67" xfId="0" applyNumberFormat="1" applyFont="1" applyFill="1" applyBorder="1" applyAlignment="1">
      <alignment horizontal="center"/>
    </xf>
    <xf numFmtId="0" fontId="54" fillId="11" borderId="62" xfId="0" applyFont="1" applyFill="1" applyBorder="1"/>
    <xf numFmtId="0" fontId="0" fillId="11" borderId="62" xfId="0" applyFill="1" applyBorder="1"/>
    <xf numFmtId="0" fontId="57" fillId="0" borderId="15" xfId="0" applyFont="1" applyBorder="1" applyAlignment="1">
      <alignment horizontal="left"/>
    </xf>
    <xf numFmtId="0" fontId="68" fillId="0" borderId="16" xfId="0" applyFont="1" applyBorder="1"/>
    <xf numFmtId="0" fontId="14" fillId="0" borderId="16" xfId="0" applyFont="1" applyBorder="1"/>
    <xf numFmtId="0" fontId="17" fillId="0" borderId="16" xfId="0" applyFont="1" applyBorder="1"/>
    <xf numFmtId="0" fontId="7" fillId="0" borderId="49" xfId="0" applyFont="1" applyBorder="1"/>
    <xf numFmtId="0" fontId="7" fillId="0" borderId="86" xfId="0" applyFont="1" applyBorder="1"/>
    <xf numFmtId="0" fontId="2" fillId="11" borderId="86" xfId="0" applyFont="1" applyFill="1" applyBorder="1"/>
    <xf numFmtId="0" fontId="7" fillId="0" borderId="56" xfId="0" applyFont="1" applyBorder="1"/>
    <xf numFmtId="0" fontId="7" fillId="0" borderId="67" xfId="0" applyFont="1" applyBorder="1"/>
    <xf numFmtId="0" fontId="7" fillId="18" borderId="67" xfId="0" applyFont="1" applyFill="1" applyBorder="1"/>
    <xf numFmtId="0" fontId="7" fillId="19" borderId="67" xfId="0" applyFont="1" applyFill="1" applyBorder="1"/>
    <xf numFmtId="0" fontId="7" fillId="0" borderId="67" xfId="0" applyFont="1" applyBorder="1" applyAlignment="1">
      <alignment horizontal="left"/>
    </xf>
    <xf numFmtId="0" fontId="7" fillId="11" borderId="67" xfId="0" applyFont="1" applyFill="1" applyBorder="1"/>
    <xf numFmtId="0" fontId="45" fillId="11" borderId="67" xfId="0" applyFont="1" applyFill="1" applyBorder="1"/>
    <xf numFmtId="0" fontId="22" fillId="11" borderId="67" xfId="0" applyFont="1" applyFill="1" applyBorder="1"/>
    <xf numFmtId="0" fontId="2" fillId="11" borderId="67" xfId="0" applyFont="1" applyFill="1" applyBorder="1"/>
    <xf numFmtId="0" fontId="50" fillId="8" borderId="53" xfId="0" applyFont="1" applyFill="1" applyBorder="1" applyAlignment="1">
      <alignment horizontal="center"/>
    </xf>
    <xf numFmtId="0" fontId="2" fillId="11" borderId="53" xfId="0" applyFont="1" applyFill="1" applyBorder="1"/>
    <xf numFmtId="0" fontId="50" fillId="8" borderId="57" xfId="0" applyFont="1" applyFill="1" applyBorder="1" applyAlignment="1">
      <alignment horizontal="center"/>
    </xf>
    <xf numFmtId="2" fontId="75" fillId="8" borderId="57" xfId="0" applyNumberFormat="1" applyFont="1" applyFill="1" applyBorder="1" applyAlignment="1">
      <alignment horizontal="center"/>
    </xf>
    <xf numFmtId="0" fontId="75" fillId="13" borderId="72" xfId="0" applyFont="1" applyFill="1" applyBorder="1" applyAlignment="1">
      <alignment horizontal="center"/>
    </xf>
    <xf numFmtId="0" fontId="74" fillId="13" borderId="72" xfId="0" applyFont="1" applyFill="1" applyBorder="1" applyAlignment="1">
      <alignment horizontal="center"/>
    </xf>
    <xf numFmtId="1" fontId="74" fillId="13" borderId="72" xfId="0" applyNumberFormat="1" applyFont="1" applyFill="1" applyBorder="1" applyAlignment="1">
      <alignment horizontal="center"/>
    </xf>
    <xf numFmtId="2" fontId="74" fillId="13" borderId="72" xfId="0" applyNumberFormat="1" applyFont="1" applyFill="1" applyBorder="1" applyAlignment="1">
      <alignment horizontal="center"/>
    </xf>
    <xf numFmtId="0" fontId="28" fillId="13" borderId="72" xfId="0" applyFont="1" applyFill="1" applyBorder="1" applyAlignment="1">
      <alignment horizontal="center"/>
    </xf>
    <xf numFmtId="2" fontId="28" fillId="13" borderId="72" xfId="0" applyNumberFormat="1" applyFont="1" applyFill="1" applyBorder="1" applyAlignment="1">
      <alignment horizontal="center"/>
    </xf>
    <xf numFmtId="0" fontId="7" fillId="19" borderId="26" xfId="0" applyFont="1" applyFill="1" applyBorder="1"/>
    <xf numFmtId="0" fontId="33" fillId="9" borderId="61" xfId="0" applyFont="1" applyFill="1" applyBorder="1"/>
    <xf numFmtId="0" fontId="50" fillId="9" borderId="61" xfId="0" applyFont="1" applyFill="1" applyBorder="1" applyAlignment="1">
      <alignment horizontal="center"/>
    </xf>
    <xf numFmtId="2" fontId="53" fillId="0" borderId="77" xfId="0" applyNumberFormat="1" applyFont="1" applyBorder="1" applyAlignment="1">
      <alignment horizontal="center"/>
    </xf>
    <xf numFmtId="2" fontId="46" fillId="0" borderId="62" xfId="0" applyNumberFormat="1" applyFont="1" applyBorder="1" applyAlignment="1">
      <alignment horizontal="center"/>
    </xf>
    <xf numFmtId="168" fontId="28" fillId="0" borderId="0" xfId="0" applyNumberFormat="1" applyFont="1" applyAlignment="1">
      <alignment horizontal="center"/>
    </xf>
    <xf numFmtId="166" fontId="33" fillId="34" borderId="61" xfId="0" applyNumberFormat="1" applyFont="1" applyFill="1" applyBorder="1"/>
    <xf numFmtId="2" fontId="50" fillId="0" borderId="62" xfId="0" applyNumberFormat="1" applyFont="1" applyBorder="1" applyAlignment="1">
      <alignment horizontal="center"/>
    </xf>
    <xf numFmtId="1" fontId="46" fillId="0" borderId="62" xfId="0" applyNumberFormat="1" applyFont="1" applyBorder="1" applyAlignment="1">
      <alignment horizontal="center"/>
    </xf>
    <xf numFmtId="167" fontId="126" fillId="11" borderId="62" xfId="0" applyNumberFormat="1" applyFont="1" applyFill="1" applyBorder="1" applyAlignment="1">
      <alignment horizontal="center"/>
    </xf>
    <xf numFmtId="166" fontId="126" fillId="11" borderId="62" xfId="0" applyNumberFormat="1" applyFont="1" applyFill="1" applyBorder="1" applyAlignment="1">
      <alignment horizontal="center"/>
    </xf>
    <xf numFmtId="2" fontId="75" fillId="0" borderId="24" xfId="0" applyNumberFormat="1" applyFont="1" applyBorder="1" applyAlignment="1">
      <alignment horizontal="center"/>
    </xf>
    <xf numFmtId="2" fontId="75" fillId="11" borderId="78" xfId="0" applyNumberFormat="1" applyFont="1" applyFill="1" applyBorder="1" applyAlignment="1">
      <alignment horizontal="center"/>
    </xf>
    <xf numFmtId="2" fontId="75" fillId="9" borderId="78" xfId="0" applyNumberFormat="1" applyFont="1" applyFill="1" applyBorder="1" applyAlignment="1">
      <alignment horizontal="center"/>
    </xf>
    <xf numFmtId="1" fontId="46" fillId="11" borderId="62" xfId="0" applyNumberFormat="1" applyFont="1" applyFill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6" fillId="0" borderId="19" xfId="0" applyFont="1" applyBorder="1" applyAlignment="1">
      <alignment horizontal="center"/>
    </xf>
    <xf numFmtId="167" fontId="46" fillId="0" borderId="62" xfId="0" applyNumberFormat="1" applyFont="1" applyBorder="1" applyAlignment="1">
      <alignment horizontal="center"/>
    </xf>
    <xf numFmtId="0" fontId="50" fillId="11" borderId="76" xfId="0" applyFont="1" applyFill="1" applyBorder="1" applyAlignment="1">
      <alignment horizontal="center"/>
    </xf>
    <xf numFmtId="0" fontId="8" fillId="11" borderId="67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106" fillId="11" borderId="62" xfId="0" applyFont="1" applyFill="1" applyBorder="1" applyAlignment="1">
      <alignment horizontal="center"/>
    </xf>
    <xf numFmtId="2" fontId="100" fillId="12" borderId="57" xfId="0" applyNumberFormat="1" applyFont="1" applyFill="1" applyBorder="1" applyAlignment="1">
      <alignment horizontal="center"/>
    </xf>
    <xf numFmtId="0" fontId="77" fillId="8" borderId="17" xfId="0" applyFont="1" applyFill="1" applyBorder="1" applyAlignment="1">
      <alignment horizontal="center"/>
    </xf>
    <xf numFmtId="2" fontId="100" fillId="9" borderId="57" xfId="0" applyNumberFormat="1" applyFont="1" applyFill="1" applyBorder="1" applyAlignment="1">
      <alignment horizontal="center"/>
    </xf>
    <xf numFmtId="0" fontId="0" fillId="9" borderId="80" xfId="0" applyFill="1" applyBorder="1"/>
    <xf numFmtId="2" fontId="100" fillId="9" borderId="80" xfId="0" applyNumberFormat="1" applyFont="1" applyFill="1" applyBorder="1" applyAlignment="1">
      <alignment horizontal="center"/>
    </xf>
    <xf numFmtId="0" fontId="0" fillId="9" borderId="57" xfId="0" applyFill="1" applyBorder="1"/>
    <xf numFmtId="0" fontId="0" fillId="9" borderId="61" xfId="0" applyFill="1" applyBorder="1"/>
    <xf numFmtId="2" fontId="100" fillId="9" borderId="17" xfId="0" applyNumberFormat="1" applyFont="1" applyFill="1" applyBorder="1" applyAlignment="1">
      <alignment horizontal="center"/>
    </xf>
    <xf numFmtId="0" fontId="7" fillId="0" borderId="33" xfId="0" applyFont="1" applyBorder="1"/>
    <xf numFmtId="0" fontId="7" fillId="0" borderId="53" xfId="0" applyFont="1" applyBorder="1"/>
    <xf numFmtId="2" fontId="75" fillId="8" borderId="69" xfId="0" applyNumberFormat="1" applyFont="1" applyFill="1" applyBorder="1" applyAlignment="1">
      <alignment horizontal="center"/>
    </xf>
    <xf numFmtId="2" fontId="75" fillId="15" borderId="69" xfId="0" applyNumberFormat="1" applyFont="1" applyFill="1" applyBorder="1" applyAlignment="1">
      <alignment horizontal="center"/>
    </xf>
    <xf numFmtId="0" fontId="7" fillId="18" borderId="62" xfId="0" applyFont="1" applyFill="1" applyBorder="1"/>
    <xf numFmtId="166" fontId="50" fillId="7" borderId="62" xfId="0" applyNumberFormat="1" applyFont="1" applyFill="1" applyBorder="1" applyAlignment="1">
      <alignment horizontal="center"/>
    </xf>
    <xf numFmtId="166" fontId="50" fillId="27" borderId="62" xfId="0" applyNumberFormat="1" applyFont="1" applyFill="1" applyBorder="1" applyAlignment="1">
      <alignment horizontal="center"/>
    </xf>
    <xf numFmtId="0" fontId="46" fillId="8" borderId="35" xfId="0" applyFont="1" applyFill="1" applyBorder="1" applyAlignment="1">
      <alignment horizontal="center"/>
    </xf>
    <xf numFmtId="0" fontId="77" fillId="8" borderId="68" xfId="0" applyFont="1" applyFill="1" applyBorder="1" applyAlignment="1">
      <alignment horizontal="center"/>
    </xf>
    <xf numFmtId="0" fontId="50" fillId="8" borderId="16" xfId="0" applyFont="1" applyFill="1" applyBorder="1"/>
    <xf numFmtId="0" fontId="50" fillId="8" borderId="3" xfId="0" applyFont="1" applyFill="1" applyBorder="1" applyAlignment="1">
      <alignment horizontal="center"/>
    </xf>
    <xf numFmtId="0" fontId="0" fillId="5" borderId="9" xfId="0" applyFill="1" applyBorder="1"/>
    <xf numFmtId="2" fontId="7" fillId="6" borderId="30" xfId="0" applyNumberFormat="1" applyFont="1" applyFill="1" applyBorder="1"/>
    <xf numFmtId="0" fontId="75" fillId="9" borderId="80" xfId="0" applyFont="1" applyFill="1" applyBorder="1" applyAlignment="1">
      <alignment horizontal="center"/>
    </xf>
    <xf numFmtId="0" fontId="75" fillId="14" borderId="80" xfId="0" applyFont="1" applyFill="1" applyBorder="1" applyAlignment="1">
      <alignment horizontal="center"/>
    </xf>
    <xf numFmtId="0" fontId="75" fillId="0" borderId="74" xfId="0" applyFont="1" applyBorder="1" applyAlignment="1">
      <alignment horizontal="center"/>
    </xf>
    <xf numFmtId="0" fontId="7" fillId="5" borderId="57" xfId="0" applyFont="1" applyFill="1" applyBorder="1"/>
    <xf numFmtId="0" fontId="75" fillId="9" borderId="57" xfId="0" applyFont="1" applyFill="1" applyBorder="1" applyAlignment="1">
      <alignment horizontal="center"/>
    </xf>
    <xf numFmtId="0" fontId="29" fillId="0" borderId="57" xfId="0" applyFont="1" applyBorder="1"/>
    <xf numFmtId="0" fontId="75" fillId="0" borderId="60" xfId="0" applyFont="1" applyBorder="1" applyAlignment="1">
      <alignment horizontal="center"/>
    </xf>
    <xf numFmtId="0" fontId="75" fillId="9" borderId="43" xfId="0" applyFont="1" applyFill="1" applyBorder="1" applyAlignment="1">
      <alignment horizontal="center"/>
    </xf>
    <xf numFmtId="0" fontId="7" fillId="19" borderId="61" xfId="0" applyFont="1" applyFill="1" applyBorder="1"/>
    <xf numFmtId="0" fontId="2" fillId="19" borderId="87" xfId="0" applyFont="1" applyFill="1" applyBorder="1"/>
    <xf numFmtId="2" fontId="29" fillId="9" borderId="43" xfId="0" applyNumberFormat="1" applyFont="1" applyFill="1" applyBorder="1"/>
    <xf numFmtId="0" fontId="7" fillId="19" borderId="62" xfId="0" applyFont="1" applyFill="1" applyBorder="1"/>
    <xf numFmtId="0" fontId="28" fillId="11" borderId="81" xfId="0" applyFont="1" applyFill="1" applyBorder="1" applyAlignment="1">
      <alignment horizontal="center"/>
    </xf>
    <xf numFmtId="0" fontId="75" fillId="0" borderId="23" xfId="0" applyFont="1" applyBorder="1" applyAlignment="1">
      <alignment horizontal="center"/>
    </xf>
    <xf numFmtId="2" fontId="75" fillId="0" borderId="23" xfId="0" applyNumberFormat="1" applyFont="1" applyBorder="1" applyAlignment="1">
      <alignment horizontal="center"/>
    </xf>
    <xf numFmtId="0" fontId="79" fillId="0" borderId="76" xfId="0" applyFont="1" applyBorder="1" applyAlignment="1">
      <alignment horizontal="center"/>
    </xf>
    <xf numFmtId="1" fontId="75" fillId="0" borderId="76" xfId="0" applyNumberFormat="1" applyFont="1" applyBorder="1" applyAlignment="1">
      <alignment horizontal="center"/>
    </xf>
    <xf numFmtId="165" fontId="75" fillId="0" borderId="64" xfId="0" applyNumberFormat="1" applyFont="1" applyBorder="1" applyAlignment="1">
      <alignment horizontal="center"/>
    </xf>
    <xf numFmtId="2" fontId="75" fillId="0" borderId="64" xfId="0" applyNumberFormat="1" applyFont="1" applyBorder="1" applyAlignment="1">
      <alignment horizontal="center"/>
    </xf>
    <xf numFmtId="0" fontId="75" fillId="13" borderId="74" xfId="0" applyFont="1" applyFill="1" applyBorder="1" applyAlignment="1">
      <alignment horizontal="center"/>
    </xf>
    <xf numFmtId="0" fontId="22" fillId="31" borderId="51" xfId="0" applyFont="1" applyFill="1" applyBorder="1"/>
    <xf numFmtId="166" fontId="64" fillId="0" borderId="58" xfId="0" applyNumberFormat="1" applyFont="1" applyBorder="1" applyAlignment="1">
      <alignment horizontal="center"/>
    </xf>
    <xf numFmtId="0" fontId="0" fillId="31" borderId="60" xfId="0" applyFill="1" applyBorder="1"/>
    <xf numFmtId="166" fontId="33" fillId="0" borderId="58" xfId="0" applyNumberFormat="1" applyFont="1" applyBorder="1"/>
    <xf numFmtId="0" fontId="75" fillId="31" borderId="59" xfId="0" applyFont="1" applyFill="1" applyBorder="1" applyAlignment="1">
      <alignment horizontal="center"/>
    </xf>
    <xf numFmtId="0" fontId="75" fillId="31" borderId="1" xfId="0" applyFont="1" applyFill="1" applyBorder="1" applyAlignment="1">
      <alignment horizontal="center"/>
    </xf>
    <xf numFmtId="2" fontId="29" fillId="34" borderId="55" xfId="0" applyNumberFormat="1" applyFont="1" applyFill="1" applyBorder="1" applyAlignment="1">
      <alignment horizontal="center"/>
    </xf>
    <xf numFmtId="0" fontId="75" fillId="34" borderId="55" xfId="0" applyFont="1" applyFill="1" applyBorder="1" applyAlignment="1">
      <alignment horizontal="center"/>
    </xf>
    <xf numFmtId="2" fontId="79" fillId="19" borderId="87" xfId="0" applyNumberFormat="1" applyFont="1" applyFill="1" applyBorder="1" applyAlignment="1">
      <alignment horizontal="center"/>
    </xf>
    <xf numFmtId="0" fontId="33" fillId="6" borderId="22" xfId="0" applyFont="1" applyFill="1" applyBorder="1"/>
    <xf numFmtId="0" fontId="33" fillId="0" borderId="22" xfId="0" applyFont="1" applyBorder="1"/>
    <xf numFmtId="2" fontId="75" fillId="13" borderId="7" xfId="0" applyNumberFormat="1" applyFont="1" applyFill="1" applyBorder="1" applyAlignment="1">
      <alignment horizontal="center"/>
    </xf>
    <xf numFmtId="0" fontId="75" fillId="9" borderId="23" xfId="0" applyFont="1" applyFill="1" applyBorder="1" applyAlignment="1">
      <alignment horizontal="center"/>
    </xf>
    <xf numFmtId="0" fontId="75" fillId="14" borderId="23" xfId="0" applyFont="1" applyFill="1" applyBorder="1" applyAlignment="1">
      <alignment horizontal="center"/>
    </xf>
    <xf numFmtId="0" fontId="33" fillId="6" borderId="62" xfId="0" applyFont="1" applyFill="1" applyBorder="1"/>
    <xf numFmtId="0" fontId="112" fillId="6" borderId="62" xfId="0" applyFont="1" applyFill="1" applyBorder="1"/>
    <xf numFmtId="0" fontId="54" fillId="6" borderId="62" xfId="0" applyFont="1" applyFill="1" applyBorder="1"/>
    <xf numFmtId="2" fontId="7" fillId="6" borderId="63" xfId="0" applyNumberFormat="1" applyFont="1" applyFill="1" applyBorder="1"/>
    <xf numFmtId="0" fontId="75" fillId="13" borderId="68" xfId="0" applyFont="1" applyFill="1" applyBorder="1" applyAlignment="1">
      <alignment horizontal="center"/>
    </xf>
    <xf numFmtId="0" fontId="75" fillId="9" borderId="64" xfId="0" applyFont="1" applyFill="1" applyBorder="1" applyAlignment="1">
      <alignment horizontal="center"/>
    </xf>
    <xf numFmtId="0" fontId="75" fillId="14" borderId="64" xfId="0" applyFont="1" applyFill="1" applyBorder="1" applyAlignment="1">
      <alignment horizontal="center"/>
    </xf>
    <xf numFmtId="0" fontId="75" fillId="34" borderId="71" xfId="0" applyFont="1" applyFill="1" applyBorder="1" applyAlignment="1">
      <alignment horizontal="center"/>
    </xf>
    <xf numFmtId="165" fontId="33" fillId="0" borderId="62" xfId="0" applyNumberFormat="1" applyFont="1" applyBorder="1"/>
    <xf numFmtId="2" fontId="33" fillId="0" borderId="62" xfId="0" applyNumberFormat="1" applyFont="1" applyBorder="1"/>
    <xf numFmtId="0" fontId="28" fillId="19" borderId="87" xfId="0" applyFont="1" applyFill="1" applyBorder="1" applyAlignment="1">
      <alignment horizontal="center"/>
    </xf>
    <xf numFmtId="166" fontId="46" fillId="9" borderId="62" xfId="0" applyNumberFormat="1" applyFont="1" applyFill="1" applyBorder="1" applyAlignment="1">
      <alignment horizontal="center"/>
    </xf>
    <xf numFmtId="167" fontId="17" fillId="0" borderId="58" xfId="0" applyNumberFormat="1" applyFont="1" applyBorder="1"/>
    <xf numFmtId="2" fontId="17" fillId="5" borderId="60" xfId="0" applyNumberFormat="1" applyFont="1" applyFill="1" applyBorder="1"/>
    <xf numFmtId="2" fontId="17" fillId="0" borderId="58" xfId="0" applyNumberFormat="1" applyFont="1" applyBorder="1"/>
    <xf numFmtId="0" fontId="119" fillId="9" borderId="57" xfId="0" applyFont="1" applyFill="1" applyBorder="1" applyAlignment="1">
      <alignment horizontal="center"/>
    </xf>
    <xf numFmtId="2" fontId="75" fillId="9" borderId="57" xfId="0" applyNumberFormat="1" applyFont="1" applyFill="1" applyBorder="1" applyAlignment="1">
      <alignment horizontal="center"/>
    </xf>
    <xf numFmtId="0" fontId="29" fillId="7" borderId="43" xfId="0" applyFont="1" applyFill="1" applyBorder="1" applyAlignment="1">
      <alignment horizontal="center"/>
    </xf>
    <xf numFmtId="0" fontId="77" fillId="8" borderId="87" xfId="0" applyFont="1" applyFill="1" applyBorder="1" applyAlignment="1">
      <alignment horizontal="center"/>
    </xf>
    <xf numFmtId="166" fontId="46" fillId="9" borderId="76" xfId="0" applyNumberFormat="1" applyFont="1" applyFill="1" applyBorder="1" applyAlignment="1">
      <alignment horizontal="center"/>
    </xf>
    <xf numFmtId="165" fontId="46" fillId="0" borderId="62" xfId="0" applyNumberFormat="1" applyFont="1" applyBorder="1" applyAlignment="1">
      <alignment horizontal="center"/>
    </xf>
    <xf numFmtId="2" fontId="0" fillId="0" borderId="63" xfId="0" applyNumberFormat="1" applyBorder="1"/>
    <xf numFmtId="2" fontId="75" fillId="23" borderId="81" xfId="0" applyNumberFormat="1" applyFont="1" applyFill="1" applyBorder="1" applyAlignment="1">
      <alignment horizontal="center"/>
    </xf>
    <xf numFmtId="0" fontId="22" fillId="36" borderId="51" xfId="0" applyFont="1" applyFill="1" applyBorder="1"/>
    <xf numFmtId="0" fontId="22" fillId="36" borderId="86" xfId="0" applyFont="1" applyFill="1" applyBorder="1"/>
    <xf numFmtId="0" fontId="0" fillId="36" borderId="1" xfId="0" applyFill="1" applyBorder="1"/>
    <xf numFmtId="0" fontId="0" fillId="36" borderId="37" xfId="0" applyFill="1" applyBorder="1"/>
    <xf numFmtId="0" fontId="29" fillId="8" borderId="43" xfId="0" applyFont="1" applyFill="1" applyBorder="1" applyAlignment="1">
      <alignment horizontal="center"/>
    </xf>
    <xf numFmtId="0" fontId="75" fillId="36" borderId="59" xfId="0" applyFont="1" applyFill="1" applyBorder="1" applyAlignment="1">
      <alignment horizontal="center"/>
    </xf>
    <xf numFmtId="0" fontId="75" fillId="36" borderId="81" xfId="0" applyFont="1" applyFill="1" applyBorder="1" applyAlignment="1">
      <alignment horizontal="center"/>
    </xf>
    <xf numFmtId="2" fontId="29" fillId="8" borderId="55" xfId="0" applyNumberFormat="1" applyFont="1" applyFill="1" applyBorder="1" applyAlignment="1">
      <alignment horizontal="center"/>
    </xf>
    <xf numFmtId="0" fontId="47" fillId="8" borderId="16" xfId="0" applyFont="1" applyFill="1" applyBorder="1" applyAlignment="1">
      <alignment horizontal="center"/>
    </xf>
    <xf numFmtId="0" fontId="142" fillId="8" borderId="87" xfId="0" applyFont="1" applyFill="1" applyBorder="1" applyAlignment="1">
      <alignment horizontal="center"/>
    </xf>
    <xf numFmtId="0" fontId="29" fillId="8" borderId="16" xfId="0" applyFont="1" applyFill="1" applyBorder="1" applyAlignment="1">
      <alignment horizontal="center"/>
    </xf>
    <xf numFmtId="0" fontId="50" fillId="8" borderId="16" xfId="0" applyFont="1" applyFill="1" applyBorder="1" applyAlignment="1">
      <alignment horizontal="center"/>
    </xf>
    <xf numFmtId="166" fontId="50" fillId="8" borderId="79" xfId="0" applyNumberFormat="1" applyFont="1" applyFill="1" applyBorder="1" applyAlignment="1">
      <alignment horizontal="center"/>
    </xf>
    <xf numFmtId="166" fontId="50" fillId="8" borderId="61" xfId="0" applyNumberFormat="1" applyFont="1" applyFill="1" applyBorder="1" applyAlignment="1">
      <alignment horizontal="center"/>
    </xf>
    <xf numFmtId="0" fontId="46" fillId="11" borderId="57" xfId="0" applyFont="1" applyFill="1" applyBorder="1" applyAlignment="1">
      <alignment horizontal="center"/>
    </xf>
    <xf numFmtId="0" fontId="46" fillId="9" borderId="57" xfId="0" applyFont="1" applyFill="1" applyBorder="1" applyAlignment="1">
      <alignment horizontal="center"/>
    </xf>
    <xf numFmtId="2" fontId="46" fillId="0" borderId="57" xfId="0" applyNumberFormat="1" applyFont="1" applyBorder="1" applyAlignment="1">
      <alignment horizontal="center"/>
    </xf>
    <xf numFmtId="168" fontId="46" fillId="0" borderId="57" xfId="0" applyNumberFormat="1" applyFont="1" applyBorder="1" applyAlignment="1">
      <alignment horizontal="center"/>
    </xf>
    <xf numFmtId="166" fontId="75" fillId="0" borderId="72" xfId="0" applyNumberFormat="1" applyFont="1" applyBorder="1" applyAlignment="1">
      <alignment horizontal="center"/>
    </xf>
    <xf numFmtId="169" fontId="126" fillId="0" borderId="67" xfId="0" applyNumberFormat="1" applyFont="1" applyBorder="1" applyAlignment="1">
      <alignment horizontal="center"/>
    </xf>
    <xf numFmtId="169" fontId="75" fillId="0" borderId="72" xfId="0" applyNumberFormat="1" applyFont="1" applyBorder="1" applyAlignment="1">
      <alignment horizontal="center"/>
    </xf>
    <xf numFmtId="165" fontId="50" fillId="0" borderId="62" xfId="0" applyNumberFormat="1" applyFont="1" applyBorder="1" applyAlignment="1">
      <alignment horizontal="center"/>
    </xf>
    <xf numFmtId="0" fontId="50" fillId="9" borderId="61" xfId="0" applyFont="1" applyFill="1" applyBorder="1"/>
    <xf numFmtId="166" fontId="75" fillId="0" borderId="76" xfId="0" applyNumberFormat="1" applyFont="1" applyBorder="1" applyAlignment="1">
      <alignment horizontal="center"/>
    </xf>
    <xf numFmtId="2" fontId="46" fillId="9" borderId="62" xfId="0" applyNumberFormat="1" applyFont="1" applyFill="1" applyBorder="1" applyAlignment="1">
      <alignment horizontal="center"/>
    </xf>
    <xf numFmtId="166" fontId="46" fillId="9" borderId="57" xfId="0" applyNumberFormat="1" applyFont="1" applyFill="1" applyBorder="1" applyAlignment="1">
      <alignment horizontal="center"/>
    </xf>
    <xf numFmtId="0" fontId="58" fillId="6" borderId="30" xfId="0" applyFont="1" applyFill="1" applyBorder="1"/>
    <xf numFmtId="0" fontId="101" fillId="0" borderId="0" xfId="0" applyFont="1" applyAlignment="1">
      <alignment horizontal="left"/>
    </xf>
    <xf numFmtId="169" fontId="46" fillId="0" borderId="57" xfId="0" applyNumberFormat="1" applyFont="1" applyBorder="1" applyAlignment="1">
      <alignment horizontal="center"/>
    </xf>
    <xf numFmtId="1" fontId="46" fillId="0" borderId="57" xfId="0" applyNumberFormat="1" applyFont="1" applyBorder="1" applyAlignment="1">
      <alignment horizontal="center"/>
    </xf>
    <xf numFmtId="2" fontId="143" fillId="0" borderId="62" xfId="0" applyNumberFormat="1" applyFont="1" applyBorder="1" applyAlignment="1">
      <alignment horizontal="center"/>
    </xf>
    <xf numFmtId="0" fontId="75" fillId="0" borderId="29" xfId="0" applyFont="1" applyBorder="1" applyAlignment="1">
      <alignment horizontal="center"/>
    </xf>
    <xf numFmtId="0" fontId="2" fillId="31" borderId="51" xfId="0" applyFont="1" applyFill="1" applyBorder="1" applyAlignment="1">
      <alignment horizontal="center"/>
    </xf>
    <xf numFmtId="0" fontId="50" fillId="0" borderId="56" xfId="0" applyFont="1" applyBorder="1"/>
    <xf numFmtId="0" fontId="77" fillId="0" borderId="60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141" fillId="0" borderId="55" xfId="0" applyFont="1" applyBorder="1" applyAlignment="1">
      <alignment horizontal="center"/>
    </xf>
    <xf numFmtId="2" fontId="0" fillId="13" borderId="7" xfId="0" applyNumberFormat="1" applyFill="1" applyBorder="1"/>
    <xf numFmtId="0" fontId="58" fillId="6" borderId="62" xfId="0" applyFont="1" applyFill="1" applyBorder="1"/>
    <xf numFmtId="0" fontId="58" fillId="6" borderId="79" xfId="0" applyFont="1" applyFill="1" applyBorder="1"/>
    <xf numFmtId="2" fontId="75" fillId="0" borderId="81" xfId="0" applyNumberFormat="1" applyFont="1" applyBorder="1" applyAlignment="1">
      <alignment horizontal="center"/>
    </xf>
    <xf numFmtId="2" fontId="29" fillId="9" borderId="17" xfId="0" applyNumberFormat="1" applyFont="1" applyFill="1" applyBorder="1"/>
    <xf numFmtId="0" fontId="7" fillId="5" borderId="84" xfId="0" applyFont="1" applyFill="1" applyBorder="1"/>
    <xf numFmtId="167" fontId="17" fillId="0" borderId="84" xfId="0" applyNumberFormat="1" applyFont="1" applyBorder="1"/>
    <xf numFmtId="2" fontId="0" fillId="5" borderId="12" xfId="0" applyNumberFormat="1" applyFill="1" applyBorder="1"/>
    <xf numFmtId="2" fontId="17" fillId="0" borderId="84" xfId="0" applyNumberFormat="1" applyFont="1" applyBorder="1"/>
    <xf numFmtId="2" fontId="75" fillId="9" borderId="11" xfId="0" applyNumberFormat="1" applyFont="1" applyFill="1" applyBorder="1" applyAlignment="1">
      <alignment horizontal="center"/>
    </xf>
    <xf numFmtId="0" fontId="33" fillId="0" borderId="84" xfId="0" applyFont="1" applyBorder="1"/>
    <xf numFmtId="0" fontId="75" fillId="9" borderId="11" xfId="0" applyFont="1" applyFill="1" applyBorder="1" applyAlignment="1">
      <alignment horizontal="center"/>
    </xf>
    <xf numFmtId="0" fontId="29" fillId="0" borderId="29" xfId="0" applyFont="1" applyBorder="1"/>
    <xf numFmtId="0" fontId="50" fillId="0" borderId="23" xfId="0" applyFont="1" applyBorder="1" applyAlignment="1">
      <alignment horizontal="center"/>
    </xf>
    <xf numFmtId="0" fontId="7" fillId="5" borderId="62" xfId="0" applyFont="1" applyFill="1" applyBorder="1"/>
    <xf numFmtId="0" fontId="7" fillId="5" borderId="63" xfId="0" applyFont="1" applyFill="1" applyBorder="1"/>
    <xf numFmtId="0" fontId="50" fillId="0" borderId="11" xfId="0" applyFont="1" applyBorder="1" applyAlignment="1">
      <alignment horizontal="center"/>
    </xf>
    <xf numFmtId="0" fontId="0" fillId="12" borderId="65" xfId="0" applyFill="1" applyBorder="1"/>
    <xf numFmtId="166" fontId="50" fillId="8" borderId="58" xfId="0" applyNumberFormat="1" applyFont="1" applyFill="1" applyBorder="1" applyAlignment="1">
      <alignment horizontal="center"/>
    </xf>
    <xf numFmtId="0" fontId="2" fillId="16" borderId="49" xfId="0" applyFont="1" applyFill="1" applyBorder="1" applyAlignment="1">
      <alignment horizontal="center"/>
    </xf>
    <xf numFmtId="166" fontId="50" fillId="27" borderId="63" xfId="0" applyNumberFormat="1" applyFont="1" applyFill="1" applyBorder="1" applyAlignment="1">
      <alignment horizontal="center"/>
    </xf>
    <xf numFmtId="0" fontId="75" fillId="27" borderId="65" xfId="0" applyFont="1" applyFill="1" applyBorder="1" applyAlignment="1">
      <alignment horizontal="center"/>
    </xf>
    <xf numFmtId="0" fontId="22" fillId="23" borderId="49" xfId="0" applyFont="1" applyFill="1" applyBorder="1"/>
    <xf numFmtId="166" fontId="50" fillId="8" borderId="22" xfId="0" applyNumberFormat="1" applyFont="1" applyFill="1" applyBorder="1" applyAlignment="1">
      <alignment horizontal="center"/>
    </xf>
    <xf numFmtId="0" fontId="75" fillId="8" borderId="24" xfId="0" applyFont="1" applyFill="1" applyBorder="1" applyAlignment="1">
      <alignment horizontal="center"/>
    </xf>
    <xf numFmtId="166" fontId="50" fillId="7" borderId="63" xfId="0" applyNumberFormat="1" applyFont="1" applyFill="1" applyBorder="1" applyAlignment="1">
      <alignment horizontal="center"/>
    </xf>
    <xf numFmtId="0" fontId="75" fillId="7" borderId="65" xfId="0" applyFont="1" applyFill="1" applyBorder="1" applyAlignment="1">
      <alignment horizontal="center"/>
    </xf>
    <xf numFmtId="0" fontId="2" fillId="28" borderId="49" xfId="0" applyFont="1" applyFill="1" applyBorder="1" applyAlignment="1">
      <alignment horizontal="center"/>
    </xf>
    <xf numFmtId="166" fontId="50" fillId="17" borderId="63" xfId="0" applyNumberFormat="1" applyFont="1" applyFill="1" applyBorder="1" applyAlignment="1">
      <alignment horizontal="center"/>
    </xf>
    <xf numFmtId="0" fontId="75" fillId="17" borderId="65" xfId="0" applyFont="1" applyFill="1" applyBorder="1" applyAlignment="1">
      <alignment horizontal="center"/>
    </xf>
    <xf numFmtId="0" fontId="2" fillId="20" borderId="49" xfId="0" applyFont="1" applyFill="1" applyBorder="1"/>
    <xf numFmtId="166" fontId="50" fillId="11" borderId="63" xfId="0" applyNumberFormat="1" applyFont="1" applyFill="1" applyBorder="1" applyAlignment="1">
      <alignment horizontal="center"/>
    </xf>
    <xf numFmtId="165" fontId="79" fillId="0" borderId="76" xfId="0" applyNumberFormat="1" applyFont="1" applyBorder="1" applyAlignment="1">
      <alignment horizontal="center"/>
    </xf>
    <xf numFmtId="166" fontId="46" fillId="9" borderId="69" xfId="0" applyNumberFormat="1" applyFont="1" applyFill="1" applyBorder="1" applyAlignment="1">
      <alignment horizontal="center"/>
    </xf>
    <xf numFmtId="2" fontId="46" fillId="0" borderId="69" xfId="0" applyNumberFormat="1" applyFont="1" applyBorder="1" applyAlignment="1">
      <alignment horizontal="center"/>
    </xf>
    <xf numFmtId="165" fontId="46" fillId="0" borderId="69" xfId="0" applyNumberFormat="1" applyFont="1" applyBorder="1" applyAlignment="1">
      <alignment horizontal="center"/>
    </xf>
    <xf numFmtId="167" fontId="126" fillId="11" borderId="69" xfId="0" applyNumberFormat="1" applyFont="1" applyFill="1" applyBorder="1" applyAlignment="1">
      <alignment horizontal="center"/>
    </xf>
    <xf numFmtId="166" fontId="126" fillId="11" borderId="69" xfId="0" applyNumberFormat="1" applyFont="1" applyFill="1" applyBorder="1" applyAlignment="1">
      <alignment horizontal="center"/>
    </xf>
    <xf numFmtId="0" fontId="5" fillId="11" borderId="69" xfId="0" applyFont="1" applyFill="1" applyBorder="1" applyAlignment="1">
      <alignment horizontal="center"/>
    </xf>
    <xf numFmtId="0" fontId="106" fillId="11" borderId="69" xfId="0" applyFont="1" applyFill="1" applyBorder="1" applyAlignment="1">
      <alignment horizontal="center"/>
    </xf>
    <xf numFmtId="2" fontId="0" fillId="0" borderId="73" xfId="0" applyNumberFormat="1" applyBorder="1"/>
    <xf numFmtId="0" fontId="110" fillId="23" borderId="1" xfId="0" applyFont="1" applyFill="1" applyBorder="1" applyAlignment="1">
      <alignment horizontal="center"/>
    </xf>
    <xf numFmtId="0" fontId="7" fillId="19" borderId="45" xfId="0" applyFont="1" applyFill="1" applyBorder="1"/>
    <xf numFmtId="0" fontId="50" fillId="9" borderId="43" xfId="0" applyFont="1" applyFill="1" applyBorder="1" applyAlignment="1">
      <alignment horizontal="center"/>
    </xf>
    <xf numFmtId="0" fontId="0" fillId="5" borderId="26" xfId="0" applyFill="1" applyBorder="1"/>
    <xf numFmtId="0" fontId="77" fillId="8" borderId="28" xfId="0" applyFont="1" applyFill="1" applyBorder="1" applyAlignment="1">
      <alignment horizontal="center"/>
    </xf>
    <xf numFmtId="0" fontId="58" fillId="6" borderId="63" xfId="0" applyFont="1" applyFill="1" applyBorder="1"/>
    <xf numFmtId="0" fontId="50" fillId="0" borderId="64" xfId="0" applyFont="1" applyBorder="1" applyAlignment="1">
      <alignment horizontal="center"/>
    </xf>
    <xf numFmtId="2" fontId="100" fillId="12" borderId="65" xfId="0" applyNumberFormat="1" applyFont="1" applyFill="1" applyBorder="1" applyAlignment="1">
      <alignment horizontal="center"/>
    </xf>
    <xf numFmtId="0" fontId="7" fillId="5" borderId="47" xfId="0" applyFont="1" applyFill="1" applyBorder="1"/>
    <xf numFmtId="2" fontId="75" fillId="9" borderId="47" xfId="0" applyNumberFormat="1" applyFont="1" applyFill="1" applyBorder="1" applyAlignment="1">
      <alignment horizontal="center"/>
    </xf>
    <xf numFmtId="0" fontId="75" fillId="9" borderId="47" xfId="0" applyFont="1" applyFill="1" applyBorder="1" applyAlignment="1">
      <alignment horizontal="center"/>
    </xf>
    <xf numFmtId="0" fontId="29" fillId="0" borderId="47" xfId="0" applyFont="1" applyBorder="1"/>
    <xf numFmtId="166" fontId="53" fillId="0" borderId="82" xfId="0" applyNumberFormat="1" applyFont="1" applyBorder="1" applyAlignment="1">
      <alignment horizontal="center"/>
    </xf>
    <xf numFmtId="166" fontId="53" fillId="0" borderId="67" xfId="0" applyNumberFormat="1" applyFont="1" applyBorder="1" applyAlignment="1">
      <alignment horizontal="center"/>
    </xf>
    <xf numFmtId="166" fontId="143" fillId="0" borderId="62" xfId="0" applyNumberFormat="1" applyFont="1" applyBorder="1" applyAlignment="1">
      <alignment horizontal="center"/>
    </xf>
    <xf numFmtId="0" fontId="100" fillId="34" borderId="72" xfId="0" applyFont="1" applyFill="1" applyBorder="1" applyAlignment="1">
      <alignment horizontal="center"/>
    </xf>
    <xf numFmtId="2" fontId="100" fillId="5" borderId="60" xfId="0" applyNumberFormat="1" applyFont="1" applyFill="1" applyBorder="1"/>
    <xf numFmtId="2" fontId="22" fillId="5" borderId="44" xfId="0" applyNumberFormat="1" applyFont="1" applyFill="1" applyBorder="1"/>
    <xf numFmtId="2" fontId="43" fillId="0" borderId="76" xfId="0" applyNumberFormat="1" applyFont="1" applyBorder="1" applyAlignment="1">
      <alignment horizontal="left"/>
    </xf>
    <xf numFmtId="2" fontId="33" fillId="0" borderId="62" xfId="0" applyNumberFormat="1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79" fillId="19" borderId="87" xfId="0" applyFont="1" applyFill="1" applyBorder="1" applyAlignment="1">
      <alignment horizontal="center"/>
    </xf>
    <xf numFmtId="2" fontId="28" fillId="19" borderId="72" xfId="0" applyNumberFormat="1" applyFont="1" applyFill="1" applyBorder="1" applyAlignment="1">
      <alignment horizontal="center"/>
    </xf>
    <xf numFmtId="2" fontId="75" fillId="13" borderId="72" xfId="0" applyNumberFormat="1" applyFont="1" applyFill="1" applyBorder="1" applyAlignment="1">
      <alignment horizontal="center"/>
    </xf>
    <xf numFmtId="166" fontId="17" fillId="0" borderId="84" xfId="0" applyNumberFormat="1" applyFont="1" applyBorder="1"/>
    <xf numFmtId="166" fontId="75" fillId="9" borderId="76" xfId="0" applyNumberFormat="1" applyFont="1" applyFill="1" applyBorder="1" applyAlignment="1">
      <alignment horizontal="center"/>
    </xf>
    <xf numFmtId="2" fontId="143" fillId="0" borderId="79" xfId="0" applyNumberFormat="1" applyFont="1" applyBorder="1" applyAlignment="1">
      <alignment horizontal="center"/>
    </xf>
    <xf numFmtId="2" fontId="46" fillId="11" borderId="62" xfId="0" applyNumberFormat="1" applyFont="1" applyFill="1" applyBorder="1" applyAlignment="1">
      <alignment horizontal="center"/>
    </xf>
    <xf numFmtId="2" fontId="53" fillId="0" borderId="37" xfId="0" applyNumberFormat="1" applyFont="1" applyBorder="1" applyAlignment="1">
      <alignment horizontal="center"/>
    </xf>
    <xf numFmtId="165" fontId="75" fillId="30" borderId="68" xfId="0" applyNumberFormat="1" applyFont="1" applyFill="1" applyBorder="1" applyAlignment="1">
      <alignment horizontal="center"/>
    </xf>
    <xf numFmtId="0" fontId="0" fillId="0" borderId="30" xfId="0" applyBorder="1"/>
    <xf numFmtId="166" fontId="75" fillId="0" borderId="80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7" fillId="0" borderId="80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49" fontId="130" fillId="0" borderId="56" xfId="0" applyNumberFormat="1" applyFont="1" applyBorder="1" applyAlignment="1">
      <alignment horizontal="right"/>
    </xf>
    <xf numFmtId="2" fontId="81" fillId="0" borderId="72" xfId="0" applyNumberFormat="1" applyFont="1" applyBorder="1" applyAlignment="1">
      <alignment horizontal="left"/>
    </xf>
    <xf numFmtId="2" fontId="53" fillId="0" borderId="82" xfId="0" applyNumberFormat="1" applyFont="1" applyBorder="1" applyAlignment="1">
      <alignment horizontal="center"/>
    </xf>
    <xf numFmtId="165" fontId="75" fillId="30" borderId="65" xfId="0" applyNumberFormat="1" applyFont="1" applyFill="1" applyBorder="1" applyAlignment="1">
      <alignment horizontal="center"/>
    </xf>
    <xf numFmtId="0" fontId="22" fillId="0" borderId="82" xfId="0" applyFont="1" applyBorder="1"/>
    <xf numFmtId="166" fontId="46" fillId="0" borderId="79" xfId="0" applyNumberFormat="1" applyFont="1" applyBorder="1" applyAlignment="1">
      <alignment horizontal="center"/>
    </xf>
    <xf numFmtId="0" fontId="110" fillId="36" borderId="1" xfId="0" applyFont="1" applyFill="1" applyBorder="1" applyAlignment="1">
      <alignment horizontal="center"/>
    </xf>
    <xf numFmtId="0" fontId="29" fillId="36" borderId="37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169" fontId="143" fillId="0" borderId="67" xfId="0" applyNumberFormat="1" applyFont="1" applyBorder="1" applyAlignment="1">
      <alignment horizontal="center"/>
    </xf>
    <xf numFmtId="168" fontId="143" fillId="0" borderId="67" xfId="0" applyNumberFormat="1" applyFont="1" applyBorder="1" applyAlignment="1">
      <alignment horizontal="center"/>
    </xf>
    <xf numFmtId="167" fontId="143" fillId="0" borderId="67" xfId="0" applyNumberFormat="1" applyFont="1" applyBorder="1" applyAlignment="1">
      <alignment horizontal="center"/>
    </xf>
    <xf numFmtId="168" fontId="126" fillId="0" borderId="7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2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67" fontId="91" fillId="0" borderId="0" xfId="0" applyNumberFormat="1" applyFont="1" applyAlignment="1">
      <alignment horizontal="center"/>
    </xf>
    <xf numFmtId="2" fontId="97" fillId="0" borderId="0" xfId="0" applyNumberFormat="1" applyFont="1" applyAlignment="1">
      <alignment horizontal="center"/>
    </xf>
    <xf numFmtId="0" fontId="133" fillId="16" borderId="67" xfId="0" applyFont="1" applyFill="1" applyBorder="1" applyAlignment="1">
      <alignment horizontal="center"/>
    </xf>
    <xf numFmtId="2" fontId="137" fillId="16" borderId="76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9" fontId="16" fillId="0" borderId="0" xfId="0" applyNumberFormat="1" applyFont="1" applyAlignment="1">
      <alignment horizontal="center"/>
    </xf>
    <xf numFmtId="2" fontId="91" fillId="0" borderId="0" xfId="0" applyNumberFormat="1" applyFont="1" applyAlignment="1">
      <alignment horizontal="center"/>
    </xf>
    <xf numFmtId="165" fontId="91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2" fontId="16" fillId="4" borderId="69" xfId="0" applyNumberFormat="1" applyFont="1" applyFill="1" applyBorder="1" applyAlignment="1">
      <alignment horizontal="center"/>
    </xf>
    <xf numFmtId="0" fontId="108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6" fontId="71" fillId="0" borderId="0" xfId="0" applyNumberFormat="1" applyFont="1" applyAlignment="1">
      <alignment horizontal="center"/>
    </xf>
    <xf numFmtId="169" fontId="47" fillId="0" borderId="0" xfId="0" applyNumberFormat="1" applyFont="1"/>
    <xf numFmtId="0" fontId="54" fillId="0" borderId="74" xfId="0" applyFont="1" applyBorder="1"/>
    <xf numFmtId="2" fontId="120" fillId="0" borderId="0" xfId="0" applyNumberFormat="1" applyFont="1" applyAlignment="1">
      <alignment horizontal="center"/>
    </xf>
    <xf numFmtId="166" fontId="120" fillId="0" borderId="0" xfId="0" applyNumberFormat="1" applyFont="1" applyAlignment="1">
      <alignment horizontal="center"/>
    </xf>
    <xf numFmtId="167" fontId="120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121" fillId="0" borderId="0" xfId="0" applyNumberFormat="1" applyFont="1" applyAlignment="1">
      <alignment horizontal="center"/>
    </xf>
    <xf numFmtId="168" fontId="120" fillId="0" borderId="0" xfId="0" applyNumberFormat="1" applyFont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2" fontId="60" fillId="0" borderId="60" xfId="0" applyNumberFormat="1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166" fontId="44" fillId="0" borderId="0" xfId="0" applyNumberFormat="1" applyFont="1" applyAlignment="1">
      <alignment horizontal="center"/>
    </xf>
    <xf numFmtId="166" fontId="121" fillId="0" borderId="0" xfId="0" applyNumberFormat="1" applyFont="1" applyAlignment="1">
      <alignment horizontal="center"/>
    </xf>
    <xf numFmtId="167" fontId="121" fillId="0" borderId="0" xfId="0" applyNumberFormat="1" applyFont="1" applyAlignment="1">
      <alignment horizontal="center"/>
    </xf>
    <xf numFmtId="168" fontId="121" fillId="0" borderId="0" xfId="0" applyNumberFormat="1" applyFont="1" applyAlignment="1">
      <alignment horizontal="center"/>
    </xf>
    <xf numFmtId="166" fontId="113" fillId="0" borderId="0" xfId="0" applyNumberFormat="1" applyFont="1"/>
    <xf numFmtId="167" fontId="110" fillId="0" borderId="0" xfId="0" applyNumberFormat="1" applyFont="1"/>
    <xf numFmtId="166" fontId="24" fillId="0" borderId="0" xfId="0" applyNumberFormat="1" applyFont="1"/>
    <xf numFmtId="167" fontId="24" fillId="0" borderId="0" xfId="0" applyNumberFormat="1" applyFont="1"/>
    <xf numFmtId="0" fontId="7" fillId="0" borderId="34" xfId="0" applyFont="1" applyBorder="1"/>
    <xf numFmtId="2" fontId="43" fillId="0" borderId="60" xfId="0" applyNumberFormat="1" applyFont="1" applyBorder="1" applyAlignment="1">
      <alignment horizontal="center"/>
    </xf>
    <xf numFmtId="0" fontId="114" fillId="0" borderId="0" xfId="0" applyFont="1"/>
    <xf numFmtId="0" fontId="7" fillId="0" borderId="1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167" fontId="113" fillId="0" borderId="0" xfId="0" applyNumberFormat="1" applyFont="1"/>
    <xf numFmtId="168" fontId="113" fillId="0" borderId="0" xfId="0" applyNumberFormat="1" applyFont="1"/>
    <xf numFmtId="166" fontId="7" fillId="0" borderId="0" xfId="0" applyNumberFormat="1" applyFont="1" applyAlignment="1">
      <alignment horizontal="center"/>
    </xf>
    <xf numFmtId="0" fontId="108" fillId="16" borderId="67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6" xfId="0" applyFont="1" applyBorder="1"/>
    <xf numFmtId="9" fontId="2" fillId="0" borderId="2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54" fillId="0" borderId="76" xfId="0" applyFont="1" applyBorder="1" applyAlignment="1">
      <alignment horizontal="center"/>
    </xf>
    <xf numFmtId="0" fontId="0" fillId="8" borderId="78" xfId="0" applyFill="1" applyBorder="1" applyAlignment="1">
      <alignment horizontal="center"/>
    </xf>
    <xf numFmtId="2" fontId="54" fillId="0" borderId="62" xfId="0" applyNumberFormat="1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1" fontId="33" fillId="8" borderId="65" xfId="0" applyNumberFormat="1" applyFont="1" applyFill="1" applyBorder="1" applyAlignment="1">
      <alignment horizontal="center"/>
    </xf>
    <xf numFmtId="165" fontId="54" fillId="0" borderId="62" xfId="0" applyNumberFormat="1" applyFont="1" applyBorder="1" applyAlignment="1">
      <alignment horizontal="center"/>
    </xf>
    <xf numFmtId="165" fontId="54" fillId="0" borderId="63" xfId="0" applyNumberFormat="1" applyFont="1" applyBorder="1" applyAlignment="1">
      <alignment horizontal="center"/>
    </xf>
    <xf numFmtId="1" fontId="54" fillId="0" borderId="22" xfId="0" applyNumberFormat="1" applyFont="1" applyBorder="1" applyAlignment="1">
      <alignment horizontal="center"/>
    </xf>
    <xf numFmtId="1" fontId="54" fillId="0" borderId="62" xfId="0" applyNumberFormat="1" applyFont="1" applyBorder="1" applyAlignment="1">
      <alignment horizontal="center"/>
    </xf>
    <xf numFmtId="166" fontId="60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54" fillId="0" borderId="79" xfId="0" applyNumberFormat="1" applyFont="1" applyBorder="1" applyAlignment="1">
      <alignment horizontal="center"/>
    </xf>
    <xf numFmtId="0" fontId="54" fillId="0" borderId="80" xfId="0" applyFont="1" applyBorder="1" applyAlignment="1">
      <alignment horizontal="center"/>
    </xf>
    <xf numFmtId="0" fontId="0" fillId="8" borderId="81" xfId="0" applyFill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165" fontId="17" fillId="0" borderId="63" xfId="0" applyNumberFormat="1" applyFont="1" applyBorder="1" applyAlignment="1">
      <alignment horizontal="center"/>
    </xf>
    <xf numFmtId="9" fontId="144" fillId="0" borderId="77" xfId="0" applyNumberFormat="1" applyFont="1" applyBorder="1" applyAlignment="1">
      <alignment horizontal="left"/>
    </xf>
    <xf numFmtId="2" fontId="36" fillId="8" borderId="16" xfId="0" applyNumberFormat="1" applyFont="1" applyFill="1" applyBorder="1" applyAlignment="1">
      <alignment horizontal="center"/>
    </xf>
    <xf numFmtId="9" fontId="36" fillId="8" borderId="16" xfId="0" applyNumberFormat="1" applyFont="1" applyFill="1" applyBorder="1" applyAlignment="1">
      <alignment horizontal="center"/>
    </xf>
    <xf numFmtId="165" fontId="38" fillId="8" borderId="43" xfId="0" applyNumberFormat="1" applyFont="1" applyFill="1" applyBorder="1" applyAlignment="1">
      <alignment horizontal="center"/>
    </xf>
    <xf numFmtId="2" fontId="22" fillId="0" borderId="63" xfId="0" applyNumberFormat="1" applyFont="1" applyBorder="1" applyAlignment="1">
      <alignment horizontal="left"/>
    </xf>
    <xf numFmtId="2" fontId="22" fillId="0" borderId="64" xfId="0" applyNumberFormat="1" applyFont="1" applyBorder="1" applyAlignment="1">
      <alignment horizontal="left"/>
    </xf>
    <xf numFmtId="2" fontId="22" fillId="0" borderId="65" xfId="0" applyNumberFormat="1" applyFont="1" applyBorder="1" applyAlignment="1">
      <alignment horizontal="left"/>
    </xf>
    <xf numFmtId="165" fontId="22" fillId="0" borderId="64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65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165" fontId="22" fillId="0" borderId="63" xfId="0" applyNumberFormat="1" applyFont="1" applyBorder="1" applyAlignment="1">
      <alignment horizontal="left"/>
    </xf>
    <xf numFmtId="2" fontId="22" fillId="0" borderId="63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2" fontId="17" fillId="0" borderId="61" xfId="0" applyNumberFormat="1" applyFont="1" applyBorder="1" applyAlignment="1">
      <alignment horizontal="center"/>
    </xf>
    <xf numFmtId="2" fontId="17" fillId="0" borderId="43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97" fillId="4" borderId="80" xfId="0" applyNumberFormat="1" applyFont="1" applyFill="1" applyBorder="1" applyAlignment="1">
      <alignment horizontal="center"/>
    </xf>
    <xf numFmtId="0" fontId="107" fillId="0" borderId="0" xfId="0" applyFont="1" applyAlignment="1">
      <alignment horizontal="left"/>
    </xf>
    <xf numFmtId="0" fontId="107" fillId="0" borderId="0" xfId="0" applyFont="1"/>
    <xf numFmtId="164" fontId="55" fillId="0" borderId="0" xfId="0" applyNumberFormat="1" applyFont="1" applyAlignment="1">
      <alignment horizontal="left"/>
    </xf>
    <xf numFmtId="0" fontId="69" fillId="0" borderId="81" xfId="0" applyFont="1" applyBorder="1" applyAlignment="1">
      <alignment horizontal="center"/>
    </xf>
    <xf numFmtId="0" fontId="128" fillId="0" borderId="0" xfId="0" applyFont="1"/>
    <xf numFmtId="49" fontId="130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7" fontId="2" fillId="0" borderId="0" xfId="0" applyNumberFormat="1" applyFont="1"/>
    <xf numFmtId="0" fontId="134" fillId="0" borderId="66" xfId="0" applyFont="1" applyBorder="1" applyAlignment="1">
      <alignment horizontal="right"/>
    </xf>
    <xf numFmtId="9" fontId="144" fillId="0" borderId="1" xfId="0" applyNumberFormat="1" applyFont="1" applyBorder="1" applyAlignment="1">
      <alignment horizontal="left"/>
    </xf>
    <xf numFmtId="0" fontId="47" fillId="0" borderId="8" xfId="0" applyFont="1" applyBorder="1" applyAlignment="1">
      <alignment horizontal="center"/>
    </xf>
    <xf numFmtId="164" fontId="130" fillId="0" borderId="66" xfId="0" applyNumberFormat="1" applyFont="1" applyBorder="1" applyAlignment="1">
      <alignment horizontal="right"/>
    </xf>
    <xf numFmtId="0" fontId="130" fillId="0" borderId="86" xfId="0" applyFont="1" applyBorder="1" applyAlignment="1">
      <alignment horizontal="right"/>
    </xf>
    <xf numFmtId="9" fontId="144" fillId="0" borderId="70" xfId="0" applyNumberFormat="1" applyFont="1" applyBorder="1" applyAlignment="1">
      <alignment horizontal="left"/>
    </xf>
    <xf numFmtId="0" fontId="130" fillId="0" borderId="85" xfId="0" applyFont="1" applyBorder="1" applyAlignment="1">
      <alignment horizontal="right"/>
    </xf>
    <xf numFmtId="0" fontId="60" fillId="0" borderId="55" xfId="0" applyFont="1" applyBorder="1" applyAlignment="1">
      <alignment horizontal="center"/>
    </xf>
    <xf numFmtId="0" fontId="20" fillId="2" borderId="1" xfId="0" applyFont="1" applyFill="1" applyBorder="1" applyAlignment="1">
      <alignment horizontal="right"/>
    </xf>
    <xf numFmtId="0" fontId="8" fillId="0" borderId="33" xfId="0" applyFont="1" applyBorder="1" applyAlignment="1">
      <alignment horizontal="right"/>
    </xf>
    <xf numFmtId="1" fontId="60" fillId="0" borderId="8" xfId="0" applyNumberFormat="1" applyFont="1" applyBorder="1" applyAlignment="1">
      <alignment horizontal="center"/>
    </xf>
    <xf numFmtId="0" fontId="8" fillId="0" borderId="56" xfId="0" applyFont="1" applyBorder="1" applyAlignment="1">
      <alignment horizontal="right"/>
    </xf>
    <xf numFmtId="0" fontId="47" fillId="0" borderId="55" xfId="0" applyFont="1" applyBorder="1" applyAlignment="1">
      <alignment horizontal="center"/>
    </xf>
    <xf numFmtId="0" fontId="33" fillId="0" borderId="62" xfId="0" applyFont="1" applyBorder="1" applyAlignment="1">
      <alignment horizontal="left"/>
    </xf>
    <xf numFmtId="0" fontId="60" fillId="0" borderId="8" xfId="0" applyFont="1" applyBorder="1" applyAlignment="1">
      <alignment horizontal="center"/>
    </xf>
    <xf numFmtId="0" fontId="134" fillId="0" borderId="51" xfId="0" applyFont="1" applyBorder="1" applyAlignment="1">
      <alignment horizontal="right"/>
    </xf>
    <xf numFmtId="0" fontId="8" fillId="0" borderId="51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134" fillId="0" borderId="86" xfId="0" applyFont="1" applyBorder="1" applyAlignment="1">
      <alignment horizontal="right"/>
    </xf>
    <xf numFmtId="166" fontId="10" fillId="0" borderId="0" xfId="0" applyNumberFormat="1" applyFont="1" applyAlignment="1">
      <alignment horizontal="center" vertical="center"/>
    </xf>
    <xf numFmtId="0" fontId="116" fillId="0" borderId="0" xfId="0" applyFont="1" applyAlignment="1">
      <alignment horizontal="left"/>
    </xf>
    <xf numFmtId="166" fontId="83" fillId="0" borderId="0" xfId="0" applyNumberFormat="1" applyFont="1" applyAlignment="1">
      <alignment horizontal="center"/>
    </xf>
    <xf numFmtId="2" fontId="20" fillId="2" borderId="0" xfId="0" applyNumberFormat="1" applyFont="1" applyFill="1" applyAlignment="1">
      <alignment horizontal="center"/>
    </xf>
    <xf numFmtId="0" fontId="0" fillId="0" borderId="27" xfId="0" applyBorder="1" applyAlignment="1">
      <alignment horizontal="left"/>
    </xf>
    <xf numFmtId="0" fontId="66" fillId="0" borderId="8" xfId="0" applyFont="1" applyBorder="1" applyAlignment="1">
      <alignment horizontal="center"/>
    </xf>
    <xf numFmtId="1" fontId="47" fillId="0" borderId="55" xfId="0" applyNumberFormat="1" applyFont="1" applyBorder="1" applyAlignment="1">
      <alignment horizontal="center"/>
    </xf>
    <xf numFmtId="0" fontId="130" fillId="0" borderId="26" xfId="0" applyFont="1" applyBorder="1" applyAlignment="1">
      <alignment horizontal="right"/>
    </xf>
    <xf numFmtId="0" fontId="33" fillId="0" borderId="79" xfId="0" applyFont="1" applyBorder="1" applyAlignment="1">
      <alignment horizontal="left"/>
    </xf>
    <xf numFmtId="49" fontId="55" fillId="0" borderId="0" xfId="0" applyNumberFormat="1" applyFont="1" applyAlignment="1">
      <alignment horizontal="right"/>
    </xf>
    <xf numFmtId="9" fontId="144" fillId="0" borderId="37" xfId="0" applyNumberFormat="1" applyFont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14" fillId="0" borderId="75" xfId="0" applyFont="1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71" xfId="0" applyBorder="1" applyAlignment="1">
      <alignment horizontal="left"/>
    </xf>
    <xf numFmtId="2" fontId="20" fillId="0" borderId="79" xfId="0" applyNumberFormat="1" applyFont="1" applyBorder="1" applyAlignment="1">
      <alignment horizontal="center"/>
    </xf>
    <xf numFmtId="2" fontId="20" fillId="0" borderId="80" xfId="0" applyNumberFormat="1" applyFont="1" applyBorder="1" applyAlignment="1">
      <alignment horizontal="center"/>
    </xf>
    <xf numFmtId="2" fontId="20" fillId="0" borderId="81" xfId="0" applyNumberFormat="1" applyFont="1" applyBorder="1" applyAlignment="1">
      <alignment horizontal="center"/>
    </xf>
    <xf numFmtId="0" fontId="20" fillId="0" borderId="77" xfId="0" applyFont="1" applyBorder="1" applyAlignment="1">
      <alignment horizontal="right"/>
    </xf>
    <xf numFmtId="9" fontId="144" fillId="0" borderId="70" xfId="0" applyNumberFormat="1" applyFont="1" applyBorder="1" applyAlignment="1">
      <alignment horizontal="center"/>
    </xf>
    <xf numFmtId="0" fontId="0" fillId="8" borderId="18" xfId="0" applyFill="1" applyBorder="1"/>
    <xf numFmtId="0" fontId="57" fillId="8" borderId="3" xfId="0" applyFont="1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2" fontId="36" fillId="8" borderId="82" xfId="0" applyNumberFormat="1" applyFont="1" applyFill="1" applyBorder="1"/>
    <xf numFmtId="2" fontId="36" fillId="8" borderId="75" xfId="0" applyNumberFormat="1" applyFont="1" applyFill="1" applyBorder="1"/>
    <xf numFmtId="9" fontId="36" fillId="8" borderId="71" xfId="0" applyNumberFormat="1" applyFont="1" applyFill="1" applyBorder="1" applyAlignment="1">
      <alignment horizontal="center"/>
    </xf>
    <xf numFmtId="0" fontId="0" fillId="8" borderId="12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2" fontId="40" fillId="0" borderId="79" xfId="0" applyNumberFormat="1" applyFont="1" applyBorder="1" applyAlignment="1">
      <alignment horizontal="center"/>
    </xf>
    <xf numFmtId="2" fontId="40" fillId="0" borderId="80" xfId="0" applyNumberFormat="1" applyFont="1" applyBorder="1" applyAlignment="1">
      <alignment horizontal="center"/>
    </xf>
    <xf numFmtId="2" fontId="40" fillId="0" borderId="81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9" fontId="144" fillId="0" borderId="77" xfId="0" applyNumberFormat="1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9" fontId="144" fillId="0" borderId="54" xfId="0" applyNumberFormat="1" applyFont="1" applyBorder="1" applyAlignment="1">
      <alignment horizontal="center"/>
    </xf>
    <xf numFmtId="2" fontId="20" fillId="0" borderId="74" xfId="0" applyNumberFormat="1" applyFont="1" applyBorder="1" applyAlignment="1">
      <alignment horizontal="center"/>
    </xf>
    <xf numFmtId="2" fontId="20" fillId="2" borderId="79" xfId="0" applyNumberFormat="1" applyFont="1" applyFill="1" applyBorder="1" applyAlignment="1">
      <alignment horizontal="center"/>
    </xf>
    <xf numFmtId="2" fontId="20" fillId="2" borderId="80" xfId="0" applyNumberFormat="1" applyFont="1" applyFill="1" applyBorder="1" applyAlignment="1">
      <alignment horizontal="center"/>
    </xf>
    <xf numFmtId="166" fontId="33" fillId="0" borderId="25" xfId="0" applyNumberFormat="1" applyFont="1" applyBorder="1" applyAlignment="1">
      <alignment horizontal="center"/>
    </xf>
    <xf numFmtId="2" fontId="40" fillId="2" borderId="79" xfId="0" applyNumberFormat="1" applyFont="1" applyFill="1" applyBorder="1" applyAlignment="1">
      <alignment horizontal="center"/>
    </xf>
    <xf numFmtId="2" fontId="40" fillId="2" borderId="80" xfId="0" applyNumberFormat="1" applyFont="1" applyFill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0" borderId="69" xfId="0" applyFont="1" applyBorder="1" applyAlignment="1">
      <alignment horizontal="right"/>
    </xf>
    <xf numFmtId="0" fontId="108" fillId="10" borderId="56" xfId="0" applyFont="1" applyFill="1" applyBorder="1" applyAlignment="1">
      <alignment horizontal="center"/>
    </xf>
    <xf numFmtId="2" fontId="40" fillId="10" borderId="57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2" fontId="20" fillId="3" borderId="69" xfId="0" applyNumberFormat="1" applyFont="1" applyFill="1" applyBorder="1" applyAlignment="1">
      <alignment horizontal="center"/>
    </xf>
    <xf numFmtId="1" fontId="36" fillId="0" borderId="52" xfId="0" applyNumberFormat="1" applyFont="1" applyBorder="1" applyAlignment="1">
      <alignment horizontal="center"/>
    </xf>
    <xf numFmtId="2" fontId="38" fillId="4" borderId="73" xfId="0" applyNumberFormat="1" applyFont="1" applyFill="1" applyBorder="1" applyAlignment="1">
      <alignment horizontal="center"/>
    </xf>
    <xf numFmtId="2" fontId="36" fillId="0" borderId="3" xfId="0" applyNumberFormat="1" applyFont="1" applyBorder="1"/>
    <xf numFmtId="9" fontId="36" fillId="0" borderId="19" xfId="0" applyNumberFormat="1" applyFont="1" applyBorder="1" applyAlignment="1">
      <alignment horizontal="center"/>
    </xf>
    <xf numFmtId="0" fontId="36" fillId="0" borderId="55" xfId="0" applyFont="1" applyBorder="1" applyAlignment="1">
      <alignment horizontal="right"/>
    </xf>
    <xf numFmtId="9" fontId="16" fillId="7" borderId="59" xfId="0" applyNumberFormat="1" applyFont="1" applyFill="1" applyBorder="1" applyAlignment="1">
      <alignment horizontal="center"/>
    </xf>
    <xf numFmtId="0" fontId="36" fillId="0" borderId="70" xfId="0" applyFont="1" applyBorder="1" applyAlignment="1">
      <alignment horizontal="right"/>
    </xf>
    <xf numFmtId="0" fontId="41" fillId="4" borderId="71" xfId="0" applyFont="1" applyFill="1" applyBorder="1" applyAlignment="1">
      <alignment horizontal="right"/>
    </xf>
    <xf numFmtId="9" fontId="36" fillId="8" borderId="32" xfId="0" applyNumberFormat="1" applyFont="1" applyFill="1" applyBorder="1" applyAlignment="1">
      <alignment horizontal="center"/>
    </xf>
    <xf numFmtId="2" fontId="36" fillId="8" borderId="15" xfId="0" applyNumberFormat="1" applyFont="1" applyFill="1" applyBorder="1"/>
    <xf numFmtId="2" fontId="36" fillId="0" borderId="18" xfId="0" applyNumberFormat="1" applyFont="1" applyBorder="1"/>
    <xf numFmtId="0" fontId="36" fillId="0" borderId="37" xfId="0" applyFont="1" applyBorder="1" applyAlignment="1">
      <alignment horizontal="right"/>
    </xf>
    <xf numFmtId="0" fontId="66" fillId="0" borderId="3" xfId="0" applyFont="1" applyBorder="1" applyAlignment="1">
      <alignment horizontal="center"/>
    </xf>
    <xf numFmtId="1" fontId="47" fillId="0" borderId="0" xfId="0" applyNumberFormat="1" applyFont="1" applyAlignment="1">
      <alignment horizontal="center"/>
    </xf>
    <xf numFmtId="1" fontId="14" fillId="0" borderId="23" xfId="0" applyNumberFormat="1" applyFont="1" applyBorder="1" applyAlignment="1">
      <alignment horizontal="left"/>
    </xf>
    <xf numFmtId="0" fontId="79" fillId="0" borderId="55" xfId="0" applyFont="1" applyBorder="1" applyAlignment="1">
      <alignment horizontal="left"/>
    </xf>
    <xf numFmtId="49" fontId="2" fillId="0" borderId="55" xfId="0" applyNumberFormat="1" applyFont="1" applyBorder="1" applyAlignment="1">
      <alignment horizontal="center"/>
    </xf>
    <xf numFmtId="0" fontId="130" fillId="0" borderId="67" xfId="0" applyFont="1" applyBorder="1" applyAlignment="1">
      <alignment horizontal="right"/>
    </xf>
    <xf numFmtId="0" fontId="126" fillId="0" borderId="16" xfId="0" applyFont="1" applyBorder="1"/>
    <xf numFmtId="0" fontId="73" fillId="0" borderId="70" xfId="0" applyFont="1" applyBorder="1" applyAlignment="1">
      <alignment horizontal="center"/>
    </xf>
    <xf numFmtId="0" fontId="80" fillId="0" borderId="81" xfId="0" applyFont="1" applyBorder="1" applyAlignment="1">
      <alignment horizontal="left"/>
    </xf>
    <xf numFmtId="0" fontId="2" fillId="0" borderId="74" xfId="0" applyFont="1" applyBorder="1"/>
    <xf numFmtId="0" fontId="14" fillId="0" borderId="86" xfId="0" applyFont="1" applyBorder="1" applyAlignment="1">
      <alignment horizontal="left"/>
    </xf>
    <xf numFmtId="0" fontId="73" fillId="0" borderId="54" xfId="0" applyFont="1" applyBorder="1" applyAlignment="1">
      <alignment horizontal="center"/>
    </xf>
    <xf numFmtId="0" fontId="0" fillId="0" borderId="81" xfId="0" applyBorder="1"/>
    <xf numFmtId="0" fontId="64" fillId="0" borderId="79" xfId="0" applyFont="1" applyBorder="1"/>
    <xf numFmtId="2" fontId="22" fillId="0" borderId="0" xfId="0" applyNumberFormat="1" applyFont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1" fontId="54" fillId="0" borderId="76" xfId="0" applyNumberFormat="1" applyFont="1" applyBorder="1" applyAlignment="1">
      <alignment horizontal="center"/>
    </xf>
    <xf numFmtId="170" fontId="22" fillId="0" borderId="0" xfId="0" applyNumberFormat="1" applyFont="1" applyAlignment="1">
      <alignment horizontal="center"/>
    </xf>
    <xf numFmtId="0" fontId="65" fillId="0" borderId="88" xfId="0" applyFont="1" applyBorder="1"/>
    <xf numFmtId="0" fontId="109" fillId="0" borderId="15" xfId="0" applyFont="1" applyBorder="1"/>
    <xf numFmtId="2" fontId="14" fillId="0" borderId="62" xfId="0" applyNumberFormat="1" applyFont="1" applyBorder="1" applyAlignment="1">
      <alignment horizontal="center"/>
    </xf>
    <xf numFmtId="2" fontId="17" fillId="0" borderId="72" xfId="0" applyNumberFormat="1" applyFont="1" applyBorder="1" applyAlignment="1">
      <alignment horizontal="center"/>
    </xf>
    <xf numFmtId="2" fontId="70" fillId="0" borderId="76" xfId="0" applyNumberFormat="1" applyFont="1" applyBorder="1" applyAlignment="1">
      <alignment horizontal="center"/>
    </xf>
    <xf numFmtId="2" fontId="70" fillId="0" borderId="72" xfId="0" applyNumberFormat="1" applyFont="1" applyBorder="1" applyAlignment="1">
      <alignment horizontal="center"/>
    </xf>
    <xf numFmtId="2" fontId="17" fillId="0" borderId="52" xfId="0" applyNumberFormat="1" applyFont="1" applyBorder="1" applyAlignment="1">
      <alignment horizontal="center"/>
    </xf>
    <xf numFmtId="2" fontId="17" fillId="0" borderId="57" xfId="0" applyNumberFormat="1" applyFont="1" applyBorder="1" applyAlignment="1">
      <alignment horizontal="center"/>
    </xf>
    <xf numFmtId="2" fontId="18" fillId="0" borderId="78" xfId="0" applyNumberFormat="1" applyFont="1" applyBorder="1" applyAlignment="1">
      <alignment horizontal="center"/>
    </xf>
    <xf numFmtId="2" fontId="17" fillId="0" borderId="79" xfId="0" applyNumberFormat="1" applyFont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2" fontId="128" fillId="0" borderId="76" xfId="0" applyNumberFormat="1" applyFont="1" applyBorder="1" applyAlignment="1">
      <alignment horizontal="center"/>
    </xf>
    <xf numFmtId="2" fontId="14" fillId="0" borderId="79" xfId="0" applyNumberFormat="1" applyFont="1" applyBorder="1" applyAlignment="1">
      <alignment horizontal="center"/>
    </xf>
    <xf numFmtId="2" fontId="18" fillId="0" borderId="64" xfId="0" applyNumberFormat="1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1" fontId="48" fillId="8" borderId="43" xfId="0" applyNumberFormat="1" applyFont="1" applyFill="1" applyBorder="1" applyAlignment="1">
      <alignment horizontal="center"/>
    </xf>
    <xf numFmtId="165" fontId="48" fillId="8" borderId="43" xfId="0" applyNumberFormat="1" applyFont="1" applyFill="1" applyBorder="1" applyAlignment="1">
      <alignment horizontal="center"/>
    </xf>
    <xf numFmtId="2" fontId="38" fillId="8" borderId="61" xfId="0" applyNumberFormat="1" applyFont="1" applyFill="1" applyBorder="1" applyAlignment="1">
      <alignment horizontal="center"/>
    </xf>
    <xf numFmtId="2" fontId="38" fillId="8" borderId="43" xfId="0" applyNumberFormat="1" applyFont="1" applyFill="1" applyBorder="1" applyAlignment="1">
      <alignment horizontal="center"/>
    </xf>
    <xf numFmtId="2" fontId="48" fillId="8" borderId="43" xfId="0" applyNumberFormat="1" applyFont="1" applyFill="1" applyBorder="1" applyAlignment="1">
      <alignment horizontal="center"/>
    </xf>
    <xf numFmtId="2" fontId="48" fillId="8" borderId="17" xfId="0" applyNumberFormat="1" applyFont="1" applyFill="1" applyBorder="1" applyAlignment="1">
      <alignment horizontal="center"/>
    </xf>
    <xf numFmtId="2" fontId="17" fillId="0" borderId="62" xfId="0" applyNumberFormat="1" applyFont="1" applyBorder="1" applyAlignment="1">
      <alignment horizontal="center"/>
    </xf>
    <xf numFmtId="2" fontId="17" fillId="0" borderId="78" xfId="0" applyNumberFormat="1" applyFont="1" applyBorder="1" applyAlignment="1">
      <alignment horizontal="center"/>
    </xf>
    <xf numFmtId="2" fontId="91" fillId="2" borderId="80" xfId="0" applyNumberFormat="1" applyFont="1" applyFill="1" applyBorder="1"/>
    <xf numFmtId="2" fontId="14" fillId="0" borderId="53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7" fillId="0" borderId="77" xfId="0" applyNumberFormat="1" applyFont="1" applyBorder="1" applyAlignment="1">
      <alignment horizontal="center"/>
    </xf>
    <xf numFmtId="2" fontId="17" fillId="0" borderId="74" xfId="0" applyNumberFormat="1" applyFont="1" applyBorder="1" applyAlignment="1">
      <alignment horizontal="center"/>
    </xf>
    <xf numFmtId="2" fontId="17" fillId="0" borderId="35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4" fillId="0" borderId="63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left"/>
    </xf>
    <xf numFmtId="2" fontId="0" fillId="0" borderId="23" xfId="0" applyNumberFormat="1" applyBorder="1" applyAlignment="1">
      <alignment horizontal="left"/>
    </xf>
    <xf numFmtId="2" fontId="0" fillId="0" borderId="7" xfId="0" applyNumberFormat="1" applyBorder="1"/>
    <xf numFmtId="2" fontId="128" fillId="0" borderId="37" xfId="0" applyNumberFormat="1" applyFont="1" applyBorder="1" applyAlignment="1">
      <alignment horizontal="center"/>
    </xf>
    <xf numFmtId="2" fontId="14" fillId="0" borderId="84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4" fillId="0" borderId="58" xfId="0" applyNumberFormat="1" applyFont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2" fontId="17" fillId="0" borderId="58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2" fontId="17" fillId="0" borderId="34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12" xfId="0" applyNumberFormat="1" applyBorder="1"/>
    <xf numFmtId="2" fontId="35" fillId="0" borderId="59" xfId="0" applyNumberFormat="1" applyFont="1" applyBorder="1" applyAlignment="1">
      <alignment horizontal="center" vertical="center"/>
    </xf>
    <xf numFmtId="2" fontId="71" fillId="0" borderId="62" xfId="0" applyNumberFormat="1" applyFont="1" applyBorder="1" applyAlignment="1">
      <alignment horizontal="center"/>
    </xf>
    <xf numFmtId="2" fontId="17" fillId="0" borderId="47" xfId="0" applyNumberFormat="1" applyFont="1" applyBorder="1" applyAlignment="1">
      <alignment horizontal="center"/>
    </xf>
    <xf numFmtId="2" fontId="91" fillId="2" borderId="73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left"/>
    </xf>
    <xf numFmtId="2" fontId="0" fillId="0" borderId="44" xfId="0" applyNumberFormat="1" applyBorder="1" applyAlignment="1">
      <alignment horizontal="left"/>
    </xf>
    <xf numFmtId="2" fontId="0" fillId="0" borderId="57" xfId="0" applyNumberFormat="1" applyBorder="1" applyAlignment="1">
      <alignment horizontal="left"/>
    </xf>
    <xf numFmtId="2" fontId="0" fillId="0" borderId="60" xfId="0" applyNumberFormat="1" applyBorder="1"/>
    <xf numFmtId="2" fontId="135" fillId="0" borderId="72" xfId="0" applyNumberFormat="1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2" fontId="0" fillId="0" borderId="57" xfId="0" applyNumberFormat="1" applyBorder="1"/>
    <xf numFmtId="2" fontId="128" fillId="0" borderId="80" xfId="0" applyNumberFormat="1" applyFont="1" applyBorder="1" applyAlignment="1">
      <alignment horizontal="center"/>
    </xf>
    <xf numFmtId="2" fontId="36" fillId="0" borderId="62" xfId="0" applyNumberFormat="1" applyFont="1" applyBorder="1" applyAlignment="1">
      <alignment horizontal="center"/>
    </xf>
    <xf numFmtId="2" fontId="36" fillId="0" borderId="76" xfId="0" applyNumberFormat="1" applyFont="1" applyBorder="1" applyAlignment="1">
      <alignment horizontal="center"/>
    </xf>
    <xf numFmtId="2" fontId="36" fillId="0" borderId="78" xfId="0" applyNumberFormat="1" applyFont="1" applyBorder="1" applyAlignment="1">
      <alignment horizontal="center"/>
    </xf>
    <xf numFmtId="2" fontId="18" fillId="0" borderId="68" xfId="0" applyNumberFormat="1" applyFont="1" applyBorder="1" applyAlignment="1">
      <alignment horizontal="center"/>
    </xf>
    <xf numFmtId="2" fontId="134" fillId="0" borderId="76" xfId="0" applyNumberFormat="1" applyFont="1" applyBorder="1" applyAlignment="1">
      <alignment horizontal="center"/>
    </xf>
    <xf numFmtId="2" fontId="14" fillId="0" borderId="69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23" xfId="0" applyNumberFormat="1" applyBorder="1"/>
    <xf numFmtId="2" fontId="0" fillId="0" borderId="24" xfId="0" applyNumberFormat="1" applyBorder="1"/>
    <xf numFmtId="2" fontId="14" fillId="0" borderId="82" xfId="0" applyNumberFormat="1" applyFont="1" applyBorder="1" applyAlignment="1">
      <alignment horizontal="center"/>
    </xf>
    <xf numFmtId="2" fontId="14" fillId="0" borderId="75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left"/>
    </xf>
    <xf numFmtId="2" fontId="17" fillId="0" borderId="76" xfId="0" applyNumberFormat="1" applyFont="1" applyBorder="1"/>
    <xf numFmtId="2" fontId="18" fillId="0" borderId="76" xfId="0" applyNumberFormat="1" applyFont="1" applyBorder="1"/>
    <xf numFmtId="2" fontId="17" fillId="0" borderId="72" xfId="0" applyNumberFormat="1" applyFont="1" applyBorder="1"/>
    <xf numFmtId="2" fontId="140" fillId="0" borderId="36" xfId="0" applyNumberFormat="1" applyFont="1" applyBorder="1" applyAlignment="1">
      <alignment horizontal="center" vertical="center"/>
    </xf>
    <xf numFmtId="2" fontId="135" fillId="0" borderId="76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28" fillId="0" borderId="57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left"/>
    </xf>
    <xf numFmtId="2" fontId="17" fillId="0" borderId="23" xfId="0" applyNumberFormat="1" applyFont="1" applyBorder="1"/>
    <xf numFmtId="2" fontId="17" fillId="0" borderId="18" xfId="0" applyNumberFormat="1" applyFont="1" applyBorder="1"/>
    <xf numFmtId="2" fontId="17" fillId="0" borderId="35" xfId="0" applyNumberFormat="1" applyFont="1" applyBorder="1"/>
    <xf numFmtId="2" fontId="17" fillId="0" borderId="7" xfId="0" applyNumberFormat="1" applyFont="1" applyBorder="1"/>
    <xf numFmtId="2" fontId="116" fillId="0" borderId="36" xfId="0" applyNumberFormat="1" applyFont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2" fontId="116" fillId="0" borderId="36" xfId="0" applyNumberFormat="1" applyFont="1" applyBorder="1" applyAlignment="1">
      <alignment horizontal="left"/>
    </xf>
    <xf numFmtId="2" fontId="116" fillId="0" borderId="28" xfId="0" applyNumberFormat="1" applyFont="1" applyBorder="1"/>
    <xf numFmtId="2" fontId="116" fillId="0" borderId="24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 vertical="center"/>
    </xf>
    <xf numFmtId="2" fontId="14" fillId="0" borderId="65" xfId="0" applyNumberFormat="1" applyFont="1" applyBorder="1" applyAlignment="1">
      <alignment horizontal="center"/>
    </xf>
    <xf numFmtId="2" fontId="18" fillId="0" borderId="65" xfId="0" applyNumberFormat="1" applyFont="1" applyBorder="1" applyAlignment="1">
      <alignment horizontal="center"/>
    </xf>
    <xf numFmtId="2" fontId="10" fillId="8" borderId="18" xfId="0" applyNumberFormat="1" applyFont="1" applyFill="1" applyBorder="1" applyAlignment="1">
      <alignment horizontal="center" vertical="center"/>
    </xf>
    <xf numFmtId="2" fontId="10" fillId="8" borderId="35" xfId="0" applyNumberFormat="1" applyFont="1" applyFill="1" applyBorder="1" applyAlignment="1">
      <alignment horizontal="center" vertical="center"/>
    </xf>
    <xf numFmtId="2" fontId="10" fillId="8" borderId="35" xfId="0" applyNumberFormat="1" applyFont="1" applyFill="1" applyBorder="1" applyAlignment="1">
      <alignment horizontal="left"/>
    </xf>
    <xf numFmtId="2" fontId="38" fillId="8" borderId="63" xfId="0" applyNumberFormat="1" applyFont="1" applyFill="1" applyBorder="1" applyAlignment="1">
      <alignment horizontal="center"/>
    </xf>
    <xf numFmtId="2" fontId="38" fillId="8" borderId="64" xfId="0" applyNumberFormat="1" applyFont="1" applyFill="1" applyBorder="1" applyAlignment="1">
      <alignment horizontal="center"/>
    </xf>
    <xf numFmtId="2" fontId="38" fillId="8" borderId="68" xfId="0" applyNumberFormat="1" applyFont="1" applyFill="1" applyBorder="1" applyAlignment="1">
      <alignment horizontal="center"/>
    </xf>
    <xf numFmtId="2" fontId="38" fillId="8" borderId="12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left"/>
    </xf>
    <xf numFmtId="2" fontId="0" fillId="0" borderId="83" xfId="0" applyNumberFormat="1" applyBorder="1" applyAlignment="1">
      <alignment horizontal="left"/>
    </xf>
    <xf numFmtId="2" fontId="17" fillId="0" borderId="69" xfId="0" applyNumberFormat="1" applyFont="1" applyBorder="1" applyAlignment="1">
      <alignment horizontal="center"/>
    </xf>
    <xf numFmtId="2" fontId="18" fillId="0" borderId="81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 vertical="center"/>
    </xf>
    <xf numFmtId="2" fontId="36" fillId="0" borderId="58" xfId="0" applyNumberFormat="1" applyFont="1" applyBorder="1" applyAlignment="1">
      <alignment horizontal="center"/>
    </xf>
    <xf numFmtId="2" fontId="36" fillId="0" borderId="57" xfId="0" applyNumberFormat="1" applyFont="1" applyBorder="1" applyAlignment="1">
      <alignment horizontal="center"/>
    </xf>
    <xf numFmtId="2" fontId="36" fillId="0" borderId="59" xfId="0" applyNumberFormat="1" applyFont="1" applyBorder="1" applyAlignment="1">
      <alignment horizontal="center"/>
    </xf>
    <xf numFmtId="2" fontId="8" fillId="0" borderId="0" xfId="0" applyNumberFormat="1" applyFont="1"/>
    <xf numFmtId="2" fontId="1" fillId="0" borderId="0" xfId="0" applyNumberFormat="1" applyFont="1"/>
    <xf numFmtId="2" fontId="7" fillId="0" borderId="0" xfId="0" applyNumberFormat="1" applyFont="1"/>
    <xf numFmtId="2" fontId="8" fillId="0" borderId="16" xfId="0" applyNumberFormat="1" applyFont="1" applyBorder="1"/>
    <xf numFmtId="2" fontId="8" fillId="0" borderId="2" xfId="0" applyNumberFormat="1" applyFont="1" applyBorder="1" applyAlignment="1">
      <alignment horizontal="center" vertical="center"/>
    </xf>
    <xf numFmtId="2" fontId="50" fillId="0" borderId="2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2" fontId="71" fillId="0" borderId="77" xfId="0" applyNumberFormat="1" applyFont="1" applyBorder="1" applyAlignment="1">
      <alignment horizontal="center"/>
    </xf>
    <xf numFmtId="0" fontId="50" fillId="0" borderId="42" xfId="0" applyFont="1" applyBorder="1" applyAlignment="1">
      <alignment horizontal="left"/>
    </xf>
    <xf numFmtId="0" fontId="22" fillId="0" borderId="55" xfId="0" applyFont="1" applyBorder="1" applyAlignment="1">
      <alignment horizontal="center"/>
    </xf>
    <xf numFmtId="2" fontId="17" fillId="0" borderId="30" xfId="0" applyNumberFormat="1" applyFont="1" applyBorder="1" applyAlignment="1">
      <alignment horizontal="center"/>
    </xf>
    <xf numFmtId="0" fontId="0" fillId="0" borderId="55" xfId="0" applyBorder="1" applyAlignment="1">
      <alignment horizontal="left"/>
    </xf>
    <xf numFmtId="0" fontId="2" fillId="0" borderId="71" xfId="0" applyFont="1" applyBorder="1" applyAlignment="1">
      <alignment horizontal="center"/>
    </xf>
    <xf numFmtId="0" fontId="33" fillId="0" borderId="86" xfId="0" applyFont="1" applyBorder="1" applyAlignment="1">
      <alignment horizontal="left"/>
    </xf>
    <xf numFmtId="165" fontId="22" fillId="0" borderId="23" xfId="0" applyNumberFormat="1" applyFont="1" applyBorder="1" applyAlignment="1">
      <alignment horizontal="left"/>
    </xf>
    <xf numFmtId="165" fontId="75" fillId="0" borderId="24" xfId="0" applyNumberFormat="1" applyFont="1" applyBorder="1" applyAlignment="1">
      <alignment horizontal="left"/>
    </xf>
    <xf numFmtId="165" fontId="17" fillId="0" borderId="76" xfId="0" applyNumberFormat="1" applyFont="1" applyBorder="1" applyAlignment="1">
      <alignment horizontal="left"/>
    </xf>
    <xf numFmtId="168" fontId="0" fillId="0" borderId="25" xfId="0" applyNumberFormat="1" applyBorder="1"/>
    <xf numFmtId="0" fontId="2" fillId="0" borderId="53" xfId="0" applyFont="1" applyBorder="1" applyAlignment="1">
      <alignment horizontal="center"/>
    </xf>
    <xf numFmtId="0" fontId="0" fillId="0" borderId="56" xfId="0" applyBorder="1" applyAlignment="1">
      <alignment horizontal="left"/>
    </xf>
    <xf numFmtId="1" fontId="36" fillId="0" borderId="54" xfId="0" applyNumberFormat="1" applyFont="1" applyBorder="1" applyAlignment="1">
      <alignment horizontal="center"/>
    </xf>
    <xf numFmtId="2" fontId="71" fillId="0" borderId="79" xfId="0" applyNumberFormat="1" applyFont="1" applyBorder="1" applyAlignment="1">
      <alignment horizontal="center"/>
    </xf>
    <xf numFmtId="2" fontId="71" fillId="0" borderId="8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1" fontId="36" fillId="0" borderId="70" xfId="0" applyNumberFormat="1" applyFont="1" applyBorder="1" applyAlignment="1">
      <alignment horizontal="center"/>
    </xf>
    <xf numFmtId="1" fontId="104" fillId="0" borderId="27" xfId="0" applyNumberFormat="1" applyFont="1" applyBorder="1" applyAlignment="1">
      <alignment horizontal="center"/>
    </xf>
    <xf numFmtId="1" fontId="104" fillId="0" borderId="54" xfId="0" applyNumberFormat="1" applyFont="1" applyBorder="1" applyAlignment="1">
      <alignment horizontal="center"/>
    </xf>
    <xf numFmtId="1" fontId="104" fillId="0" borderId="70" xfId="0" applyNumberFormat="1" applyFont="1" applyBorder="1" applyAlignment="1">
      <alignment horizontal="center"/>
    </xf>
    <xf numFmtId="0" fontId="0" fillId="0" borderId="71" xfId="0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81" xfId="0" applyNumberFormat="1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2" fontId="0" fillId="0" borderId="59" xfId="0" applyNumberFormat="1" applyBorder="1"/>
    <xf numFmtId="2" fontId="17" fillId="0" borderId="59" xfId="0" applyNumberFormat="1" applyFont="1" applyBorder="1" applyAlignment="1">
      <alignment horizontal="center"/>
    </xf>
    <xf numFmtId="167" fontId="46" fillId="0" borderId="25" xfId="0" applyNumberFormat="1" applyFont="1" applyBorder="1" applyAlignment="1">
      <alignment horizontal="center"/>
    </xf>
    <xf numFmtId="166" fontId="46" fillId="0" borderId="0" xfId="0" applyNumberFormat="1" applyFont="1" applyAlignment="1">
      <alignment horizontal="center"/>
    </xf>
    <xf numFmtId="165" fontId="79" fillId="0" borderId="7" xfId="0" applyNumberFormat="1" applyFont="1" applyBorder="1" applyAlignment="1">
      <alignment horizontal="left"/>
    </xf>
    <xf numFmtId="1" fontId="79" fillId="0" borderId="7" xfId="0" applyNumberFormat="1" applyFont="1" applyBorder="1" applyAlignment="1">
      <alignment horizontal="left"/>
    </xf>
    <xf numFmtId="165" fontId="2" fillId="0" borderId="23" xfId="0" applyNumberFormat="1" applyFont="1" applyBorder="1" applyAlignment="1">
      <alignment horizontal="left"/>
    </xf>
    <xf numFmtId="165" fontId="81" fillId="0" borderId="78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5" fontId="75" fillId="0" borderId="28" xfId="0" applyNumberFormat="1" applyFont="1" applyBorder="1" applyAlignment="1">
      <alignment horizontal="left"/>
    </xf>
    <xf numFmtId="1" fontId="28" fillId="0" borderId="78" xfId="0" applyNumberFormat="1" applyFont="1" applyBorder="1" applyAlignment="1">
      <alignment horizontal="left"/>
    </xf>
    <xf numFmtId="166" fontId="82" fillId="0" borderId="72" xfId="0" applyNumberFormat="1" applyFont="1" applyBorder="1" applyAlignment="1">
      <alignment horizontal="left"/>
    </xf>
    <xf numFmtId="167" fontId="17" fillId="0" borderId="76" xfId="0" applyNumberFormat="1" applyFont="1" applyBorder="1" applyAlignment="1">
      <alignment horizontal="center"/>
    </xf>
    <xf numFmtId="171" fontId="17" fillId="0" borderId="76" xfId="0" applyNumberFormat="1" applyFont="1" applyBorder="1" applyAlignment="1">
      <alignment horizontal="center"/>
    </xf>
    <xf numFmtId="166" fontId="18" fillId="0" borderId="72" xfId="0" applyNumberFormat="1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164" fontId="14" fillId="0" borderId="82" xfId="0" applyNumberFormat="1" applyFont="1" applyBorder="1" applyAlignment="1">
      <alignment horizontal="left"/>
    </xf>
    <xf numFmtId="0" fontId="17" fillId="0" borderId="18" xfId="0" applyFont="1" applyBorder="1" applyAlignment="1">
      <alignment horizontal="right"/>
    </xf>
    <xf numFmtId="0" fontId="134" fillId="0" borderId="67" xfId="0" applyFont="1" applyBorder="1" applyAlignment="1">
      <alignment horizontal="right"/>
    </xf>
    <xf numFmtId="165" fontId="14" fillId="0" borderId="23" xfId="0" applyNumberFormat="1" applyFont="1" applyBorder="1" applyAlignment="1">
      <alignment horizontal="left"/>
    </xf>
    <xf numFmtId="2" fontId="54" fillId="0" borderId="72" xfId="0" applyNumberFormat="1" applyFont="1" applyBorder="1" applyAlignment="1">
      <alignment horizontal="center"/>
    </xf>
    <xf numFmtId="0" fontId="65" fillId="0" borderId="76" xfId="0" applyFont="1" applyBorder="1"/>
    <xf numFmtId="165" fontId="14" fillId="0" borderId="36" xfId="0" applyNumberFormat="1" applyFont="1" applyBorder="1" applyAlignment="1">
      <alignment horizontal="left"/>
    </xf>
    <xf numFmtId="168" fontId="0" fillId="0" borderId="0" xfId="0" applyNumberFormat="1" applyAlignment="1">
      <alignment horizontal="left"/>
    </xf>
    <xf numFmtId="166" fontId="2" fillId="0" borderId="43" xfId="0" applyNumberFormat="1" applyFont="1" applyBorder="1" applyAlignment="1">
      <alignment horizontal="left"/>
    </xf>
    <xf numFmtId="0" fontId="50" fillId="0" borderId="9" xfId="0" applyFont="1" applyBorder="1" applyAlignment="1">
      <alignment horizontal="left"/>
    </xf>
    <xf numFmtId="0" fontId="14" fillId="0" borderId="76" xfId="0" applyFont="1" applyBorder="1"/>
    <xf numFmtId="0" fontId="46" fillId="0" borderId="9" xfId="0" applyFont="1" applyBorder="1" applyAlignment="1">
      <alignment horizontal="left"/>
    </xf>
    <xf numFmtId="0" fontId="33" fillId="0" borderId="57" xfId="0" applyFont="1" applyBorder="1"/>
    <xf numFmtId="0" fontId="64" fillId="0" borderId="80" xfId="0" applyFont="1" applyBorder="1"/>
    <xf numFmtId="2" fontId="54" fillId="0" borderId="25" xfId="0" applyNumberFormat="1" applyFont="1" applyBorder="1" applyAlignment="1">
      <alignment horizontal="center"/>
    </xf>
    <xf numFmtId="2" fontId="0" fillId="0" borderId="75" xfId="0" applyNumberFormat="1" applyBorder="1" applyAlignment="1">
      <alignment horizontal="left"/>
    </xf>
    <xf numFmtId="2" fontId="116" fillId="0" borderId="18" xfId="0" applyNumberFormat="1" applyFont="1" applyBorder="1" applyAlignment="1">
      <alignment horizontal="left"/>
    </xf>
    <xf numFmtId="2" fontId="116" fillId="0" borderId="3" xfId="0" applyNumberFormat="1" applyFont="1" applyBorder="1" applyAlignment="1">
      <alignment horizontal="left"/>
    </xf>
    <xf numFmtId="2" fontId="83" fillId="0" borderId="0" xfId="0" applyNumberFormat="1" applyFont="1" applyAlignment="1">
      <alignment horizontal="center"/>
    </xf>
    <xf numFmtId="9" fontId="144" fillId="0" borderId="0" xfId="0" applyNumberFormat="1" applyFont="1" applyAlignment="1">
      <alignment horizontal="center"/>
    </xf>
    <xf numFmtId="0" fontId="72" fillId="0" borderId="0" xfId="0" applyFont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81" xfId="0" applyNumberFormat="1" applyBorder="1"/>
    <xf numFmtId="2" fontId="0" fillId="0" borderId="29" xfId="0" applyNumberFormat="1" applyBorder="1" applyAlignment="1">
      <alignment horizontal="center"/>
    </xf>
    <xf numFmtId="0" fontId="17" fillId="0" borderId="67" xfId="0" applyFont="1" applyBorder="1" applyAlignment="1">
      <alignment horizontal="right"/>
    </xf>
    <xf numFmtId="0" fontId="14" fillId="0" borderId="53" xfId="0" applyFont="1" applyBorder="1" applyAlignment="1">
      <alignment horizontal="right"/>
    </xf>
    <xf numFmtId="0" fontId="130" fillId="0" borderId="0" xfId="0" applyFont="1" applyAlignment="1">
      <alignment horizontal="right"/>
    </xf>
    <xf numFmtId="0" fontId="128" fillId="0" borderId="51" xfId="0" applyFont="1" applyBorder="1" applyAlignment="1">
      <alignment horizontal="right"/>
    </xf>
    <xf numFmtId="164" fontId="55" fillId="0" borderId="86" xfId="0" applyNumberFormat="1" applyFont="1" applyBorder="1" applyAlignment="1">
      <alignment horizontal="right"/>
    </xf>
    <xf numFmtId="0" fontId="128" fillId="0" borderId="86" xfId="0" applyFont="1" applyBorder="1" applyAlignment="1">
      <alignment horizontal="right"/>
    </xf>
    <xf numFmtId="0" fontId="128" fillId="0" borderId="67" xfId="0" applyFont="1" applyBorder="1" applyAlignment="1">
      <alignment horizontal="right"/>
    </xf>
    <xf numFmtId="0" fontId="55" fillId="0" borderId="67" xfId="0" applyFont="1" applyBorder="1" applyAlignment="1">
      <alignment horizontal="right"/>
    </xf>
    <xf numFmtId="0" fontId="128" fillId="0" borderId="26" xfId="0" applyFont="1" applyBorder="1" applyAlignment="1">
      <alignment horizontal="right"/>
    </xf>
    <xf numFmtId="165" fontId="35" fillId="0" borderId="23" xfId="0" applyNumberFormat="1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49" fontId="14" fillId="0" borderId="33" xfId="0" applyNumberFormat="1" applyFont="1" applyBorder="1" applyAlignment="1">
      <alignment horizontal="left"/>
    </xf>
    <xf numFmtId="0" fontId="47" fillId="0" borderId="23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164" fontId="55" fillId="0" borderId="33" xfId="0" applyNumberFormat="1" applyFont="1" applyBorder="1" applyAlignment="1">
      <alignment horizontal="right"/>
    </xf>
    <xf numFmtId="0" fontId="2" fillId="0" borderId="36" xfId="0" applyFont="1" applyBorder="1"/>
    <xf numFmtId="0" fontId="2" fillId="0" borderId="19" xfId="0" applyFont="1" applyBorder="1" applyAlignment="1">
      <alignment horizontal="center"/>
    </xf>
    <xf numFmtId="0" fontId="72" fillId="0" borderId="9" xfId="0" applyFont="1" applyBorder="1" applyAlignment="1">
      <alignment horizontal="left"/>
    </xf>
    <xf numFmtId="0" fontId="0" fillId="0" borderId="64" xfId="0" applyBorder="1" applyAlignment="1">
      <alignment horizontal="right"/>
    </xf>
    <xf numFmtId="0" fontId="47" fillId="0" borderId="65" xfId="0" applyFont="1" applyBorder="1" applyAlignment="1">
      <alignment horizontal="center"/>
    </xf>
    <xf numFmtId="0" fontId="17" fillId="0" borderId="67" xfId="0" applyFont="1" applyBorder="1" applyAlignment="1">
      <alignment horizontal="left"/>
    </xf>
    <xf numFmtId="0" fontId="22" fillId="0" borderId="81" xfId="0" applyFont="1" applyBorder="1" applyAlignment="1">
      <alignment horizontal="center"/>
    </xf>
    <xf numFmtId="0" fontId="55" fillId="0" borderId="56" xfId="0" applyFont="1" applyBorder="1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165" fontId="54" fillId="0" borderId="72" xfId="0" applyNumberFormat="1" applyFont="1" applyBorder="1" applyAlignment="1">
      <alignment horizontal="center"/>
    </xf>
    <xf numFmtId="2" fontId="54" fillId="0" borderId="68" xfId="0" applyNumberFormat="1" applyFont="1" applyBorder="1" applyAlignment="1">
      <alignment horizontal="center"/>
    </xf>
    <xf numFmtId="2" fontId="54" fillId="0" borderId="7" xfId="0" applyNumberFormat="1" applyFont="1" applyBorder="1" applyAlignment="1">
      <alignment horizontal="center"/>
    </xf>
    <xf numFmtId="2" fontId="54" fillId="0" borderId="74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1CA9-6C7A-4E87-ADD8-9ABD17779745}">
  <dimension ref="A1:BH1239"/>
  <sheetViews>
    <sheetView tabSelected="1" topLeftCell="A829" zoomScaleNormal="100" workbookViewId="0">
      <selection activeCell="B56" sqref="B56:Q917"/>
    </sheetView>
  </sheetViews>
  <sheetFormatPr defaultRowHeight="15"/>
  <cols>
    <col min="1" max="1" width="0.5703125" customWidth="1"/>
    <col min="2" max="2" width="6.42578125" customWidth="1"/>
    <col min="3" max="3" width="25.28515625" customWidth="1"/>
    <col min="4" max="4" width="6" style="1" customWidth="1"/>
    <col min="5" max="5" width="4.85546875" style="1" customWidth="1"/>
    <col min="6" max="6" width="5.140625" style="1" customWidth="1"/>
    <col min="7" max="9" width="5" style="1" customWidth="1"/>
    <col min="10" max="10" width="5.42578125" style="1" customWidth="1"/>
    <col min="11" max="12" width="5.28515625" style="1" customWidth="1"/>
    <col min="13" max="13" width="5" style="1" customWidth="1"/>
    <col min="14" max="14" width="5.5703125" style="1" customWidth="1"/>
    <col min="15" max="16" width="4.7109375" style="1" customWidth="1"/>
    <col min="17" max="17" width="3.7109375" customWidth="1"/>
    <col min="18" max="18" width="3.28515625" customWidth="1"/>
    <col min="19" max="19" width="7.28515625" customWidth="1"/>
    <col min="20" max="20" width="23.28515625" customWidth="1"/>
    <col min="21" max="21" width="10.140625" customWidth="1"/>
    <col min="22" max="22" width="10" customWidth="1"/>
    <col min="24" max="24" width="7.5703125" bestFit="1" customWidth="1"/>
    <col min="25" max="25" width="8.42578125" bestFit="1" customWidth="1"/>
    <col min="26" max="26" width="14.7109375" customWidth="1"/>
    <col min="31" max="31" width="7.85546875" customWidth="1"/>
    <col min="32" max="32" width="4.85546875" customWidth="1"/>
    <col min="33" max="33" width="5.85546875" customWidth="1"/>
  </cols>
  <sheetData>
    <row r="1" spans="2:46" ht="7.5" customHeight="1">
      <c r="U1" s="2"/>
      <c r="V1" s="2"/>
      <c r="W1" s="2"/>
      <c r="X1" s="3"/>
      <c r="Y1" s="4"/>
      <c r="Z1" s="2"/>
      <c r="AA1" s="5"/>
      <c r="AB1" s="2"/>
      <c r="AC1" s="1"/>
      <c r="AD1" s="1"/>
      <c r="AE1" s="2"/>
      <c r="AF1" s="1"/>
      <c r="AG1" s="1"/>
      <c r="AH1" s="1"/>
      <c r="AI1" s="1"/>
      <c r="AJ1" s="2"/>
      <c r="AK1" s="2"/>
      <c r="AL1" s="2"/>
      <c r="AM1" s="3"/>
      <c r="AN1" s="6"/>
      <c r="AO1" s="2"/>
      <c r="AP1" s="2"/>
      <c r="AQ1" s="2"/>
      <c r="AR1" s="3"/>
      <c r="AS1" s="3"/>
      <c r="AT1" s="1"/>
    </row>
    <row r="2" spans="2:46">
      <c r="U2" s="2"/>
      <c r="V2" s="2"/>
      <c r="W2" s="2"/>
      <c r="X2" s="6"/>
      <c r="Y2" s="4"/>
      <c r="AA2" s="5"/>
      <c r="AB2" s="2"/>
      <c r="AD2" s="2"/>
      <c r="AE2" s="2"/>
      <c r="AF2" s="2"/>
      <c r="AG2" s="6"/>
      <c r="AH2" s="6"/>
      <c r="AI2" s="1"/>
      <c r="AJ2" s="2"/>
      <c r="AK2" s="2"/>
      <c r="AL2" s="2"/>
      <c r="AM2" s="6"/>
      <c r="AN2" s="6"/>
      <c r="AO2" s="2"/>
      <c r="AP2" s="2"/>
      <c r="AQ2" s="2"/>
      <c r="AR2" s="6"/>
      <c r="AS2" s="6"/>
      <c r="AT2" s="1"/>
    </row>
    <row r="3" spans="2:46" ht="12.75" customHeight="1">
      <c r="K3" s="2"/>
      <c r="L3"/>
      <c r="M3"/>
      <c r="N3"/>
      <c r="O3" s="2"/>
      <c r="P3" s="12"/>
      <c r="V3" s="1"/>
      <c r="W3" s="1"/>
      <c r="Z3" s="2"/>
      <c r="AA3" s="2"/>
      <c r="AB3" s="2"/>
      <c r="AD3" s="5"/>
      <c r="AE3" s="1"/>
      <c r="AG3" s="1"/>
      <c r="AH3" s="1"/>
      <c r="AI3" s="1"/>
      <c r="AJ3" s="2"/>
      <c r="AK3" s="2"/>
      <c r="AL3" s="2"/>
      <c r="AM3" s="6"/>
      <c r="AN3" s="2"/>
      <c r="AO3" s="5"/>
      <c r="AP3" s="1"/>
      <c r="AR3" s="1"/>
      <c r="AS3" s="1"/>
      <c r="AT3" s="1"/>
    </row>
    <row r="4" spans="2:46">
      <c r="L4"/>
      <c r="M4"/>
      <c r="N4"/>
      <c r="O4"/>
      <c r="P4" s="12"/>
      <c r="T4" s="1"/>
      <c r="U4" s="1"/>
      <c r="W4" s="1"/>
      <c r="Z4" s="6"/>
      <c r="AB4" s="2"/>
      <c r="AD4" s="5"/>
      <c r="AE4" s="1"/>
      <c r="AG4" s="1"/>
      <c r="AH4" s="1"/>
      <c r="AI4" s="1"/>
      <c r="AJ4" s="2"/>
      <c r="AL4" s="2"/>
      <c r="AM4" s="6"/>
      <c r="AN4" s="2"/>
      <c r="AO4" s="5"/>
      <c r="AP4" s="1"/>
      <c r="AR4" s="1"/>
      <c r="AS4" s="1"/>
      <c r="AT4" s="1"/>
    </row>
    <row r="5" spans="2:46">
      <c r="K5"/>
      <c r="M5"/>
      <c r="O5"/>
      <c r="P5"/>
      <c r="T5" s="105"/>
      <c r="W5" s="1"/>
      <c r="AA5" s="2"/>
      <c r="AC5" s="1"/>
      <c r="AD5" s="2"/>
      <c r="AE5" s="1"/>
      <c r="AF5" s="1"/>
      <c r="AG5" s="1"/>
      <c r="AH5" s="1"/>
      <c r="AI5" s="1"/>
      <c r="AK5" s="1"/>
      <c r="AN5" s="7"/>
      <c r="AO5" s="2"/>
      <c r="AP5" s="1"/>
      <c r="AQ5" s="1"/>
      <c r="AR5" s="1"/>
      <c r="AS5" s="1"/>
      <c r="AT5" s="1"/>
    </row>
    <row r="6" spans="2:46" ht="15.75">
      <c r="F6"/>
      <c r="G6" s="2" t="s">
        <v>196</v>
      </c>
      <c r="J6"/>
      <c r="K6"/>
      <c r="M6"/>
      <c r="O6"/>
      <c r="P6"/>
      <c r="T6" s="105"/>
      <c r="W6" s="1"/>
      <c r="Z6" s="9"/>
      <c r="AA6" s="4"/>
      <c r="AB6" s="8"/>
      <c r="AC6" s="1"/>
      <c r="AD6" s="1"/>
      <c r="AE6" s="1"/>
      <c r="AF6" s="1"/>
      <c r="AG6" s="1"/>
      <c r="AH6" s="1"/>
      <c r="AI6" s="1"/>
      <c r="AK6" s="10"/>
      <c r="AO6" s="4"/>
      <c r="AP6" s="8"/>
      <c r="AQ6" s="8"/>
      <c r="AR6" s="8"/>
      <c r="AS6" s="8"/>
      <c r="AT6" s="1"/>
    </row>
    <row r="7" spans="2:46">
      <c r="F7" s="1" t="s">
        <v>197</v>
      </c>
      <c r="G7"/>
      <c r="J7"/>
      <c r="K7"/>
      <c r="M7"/>
      <c r="O7"/>
      <c r="P7"/>
      <c r="T7" s="105"/>
      <c r="W7" s="1"/>
      <c r="X7" s="2188"/>
      <c r="Z7" s="9"/>
      <c r="AA7" s="4"/>
      <c r="AB7" s="8"/>
      <c r="AC7" s="1"/>
      <c r="AD7" s="2"/>
      <c r="AF7" s="2"/>
      <c r="AG7" s="1"/>
      <c r="AK7" s="12"/>
      <c r="AO7" s="2"/>
      <c r="AQ7" s="1"/>
      <c r="AR7" s="2"/>
      <c r="AS7" s="6"/>
      <c r="AT7" s="1"/>
    </row>
    <row r="8" spans="2:46">
      <c r="F8"/>
      <c r="G8"/>
      <c r="H8"/>
      <c r="I8"/>
      <c r="J8"/>
      <c r="K8" s="5"/>
      <c r="M8"/>
      <c r="O8"/>
      <c r="P8"/>
      <c r="T8" s="105"/>
      <c r="V8" s="2188"/>
      <c r="W8" s="1"/>
      <c r="Z8" s="9"/>
      <c r="AA8" s="4"/>
      <c r="AB8" s="8"/>
      <c r="AC8" s="2"/>
      <c r="AD8" s="2"/>
      <c r="AE8" s="3"/>
      <c r="AF8" s="6"/>
      <c r="AG8" s="13"/>
      <c r="AK8" s="12"/>
    </row>
    <row r="9" spans="2:46">
      <c r="F9"/>
      <c r="G9"/>
      <c r="I9" s="5"/>
      <c r="K9" s="2"/>
      <c r="L9" s="8"/>
      <c r="M9"/>
      <c r="N9" s="8"/>
      <c r="O9"/>
      <c r="P9"/>
      <c r="T9" s="1"/>
      <c r="U9" s="1"/>
      <c r="V9" s="1"/>
      <c r="W9" s="1"/>
      <c r="X9" s="1"/>
      <c r="Y9" s="1"/>
      <c r="Z9" s="8"/>
      <c r="AA9" s="8"/>
      <c r="AB9" s="8"/>
      <c r="AD9" s="2"/>
      <c r="AE9" s="2"/>
      <c r="AF9" s="2"/>
      <c r="AG9" s="6"/>
      <c r="AK9" s="2"/>
    </row>
    <row r="10" spans="2:46">
      <c r="F10"/>
      <c r="G10"/>
      <c r="H10"/>
      <c r="I10"/>
      <c r="J10"/>
      <c r="K10"/>
      <c r="L10"/>
      <c r="M10"/>
      <c r="O10"/>
      <c r="P10"/>
      <c r="T10" s="1"/>
      <c r="U10" s="1"/>
      <c r="W10" s="1"/>
      <c r="AA10" s="18"/>
      <c r="AC10" s="15"/>
      <c r="AD10" s="5"/>
      <c r="AE10" s="1"/>
      <c r="AG10" s="1"/>
      <c r="AK10" s="2"/>
    </row>
    <row r="11" spans="2:46">
      <c r="I11" s="2"/>
      <c r="J11" s="2"/>
      <c r="K11"/>
      <c r="L11"/>
      <c r="N11"/>
      <c r="O11" s="14"/>
      <c r="S11" s="63"/>
      <c r="T11" s="1"/>
      <c r="U11" s="1"/>
      <c r="V11" s="1"/>
      <c r="AA11" s="19"/>
      <c r="AB11" s="2"/>
      <c r="AC11" s="2"/>
      <c r="AD11" s="5"/>
      <c r="AE11" s="1"/>
      <c r="AG11" s="1"/>
      <c r="AK11" s="2"/>
    </row>
    <row r="12" spans="2:46">
      <c r="F12"/>
      <c r="G12"/>
      <c r="H12"/>
      <c r="I12" s="2"/>
      <c r="J12" s="2"/>
      <c r="K12" s="2"/>
      <c r="L12" s="2"/>
      <c r="M12"/>
      <c r="N12"/>
      <c r="O12"/>
      <c r="P12"/>
      <c r="S12" s="32"/>
      <c r="U12" s="1"/>
      <c r="V12" s="1"/>
      <c r="AB12" s="2"/>
      <c r="AC12" s="2"/>
      <c r="AD12" s="2"/>
      <c r="AE12" s="1"/>
      <c r="AF12" s="1"/>
      <c r="AG12" s="1"/>
    </row>
    <row r="13" spans="2:46">
      <c r="I13"/>
      <c r="J13"/>
      <c r="K13" s="2"/>
      <c r="L13" s="2"/>
      <c r="M13" s="8"/>
      <c r="N13" s="6"/>
      <c r="O13"/>
      <c r="P13"/>
      <c r="S13" s="32"/>
      <c r="T13" s="4"/>
      <c r="U13" s="8"/>
      <c r="Y13" s="2"/>
      <c r="AA13" s="14"/>
      <c r="AB13" s="2"/>
      <c r="AC13" s="2"/>
      <c r="AD13" s="8"/>
      <c r="AE13" s="8"/>
      <c r="AF13" s="8"/>
      <c r="AG13" s="8"/>
      <c r="AK13" s="14"/>
      <c r="AN13" s="21"/>
      <c r="AO13" s="19"/>
      <c r="AP13" s="22"/>
    </row>
    <row r="14" spans="2:46" ht="15.75">
      <c r="F14" s="11"/>
      <c r="G14" s="11"/>
      <c r="H14" s="11"/>
      <c r="I14" t="s">
        <v>246</v>
      </c>
      <c r="K14"/>
      <c r="L14"/>
      <c r="M14"/>
      <c r="N14" s="13"/>
      <c r="O14" s="14"/>
      <c r="P14" s="13"/>
      <c r="Q14" s="13"/>
      <c r="S14" s="32"/>
      <c r="T14" s="4"/>
      <c r="U14" s="8"/>
      <c r="Y14" s="2"/>
      <c r="AA14" s="14"/>
      <c r="AB14" s="2"/>
      <c r="AC14" s="1"/>
      <c r="AD14" s="2"/>
      <c r="AF14" s="1"/>
      <c r="AG14" s="2"/>
      <c r="AH14" s="39"/>
      <c r="AJ14" s="40"/>
      <c r="AK14" s="14"/>
      <c r="AM14" s="21"/>
      <c r="AN14" s="13"/>
      <c r="AO14" s="13"/>
      <c r="AP14" s="22"/>
    </row>
    <row r="15" spans="2:46" ht="18.75" customHeight="1">
      <c r="D15"/>
      <c r="E15"/>
      <c r="F15"/>
      <c r="G15" s="22"/>
      <c r="H15" s="22"/>
      <c r="I15" s="22"/>
      <c r="J15" s="22"/>
      <c r="K15"/>
      <c r="N15" s="22"/>
      <c r="O15" s="22"/>
      <c r="P15" s="22"/>
      <c r="Q15" s="22"/>
      <c r="R15" s="30"/>
      <c r="T15" s="169"/>
      <c r="AA15" s="14"/>
      <c r="AC15" s="1"/>
      <c r="AD15" s="1"/>
      <c r="AE15" s="1"/>
      <c r="AF15" s="1"/>
      <c r="AG15" s="1"/>
      <c r="AH15" s="32"/>
      <c r="AI15" s="4"/>
      <c r="AJ15" s="8"/>
      <c r="AK15" s="14"/>
      <c r="AM15" s="13"/>
      <c r="AN15" s="13"/>
      <c r="AO15" s="13"/>
      <c r="AP15" s="22"/>
    </row>
    <row r="16" spans="2:46" ht="16.5" customHeight="1">
      <c r="B16" s="4"/>
      <c r="C16" s="1300" t="s">
        <v>694</v>
      </c>
      <c r="D16"/>
      <c r="E16"/>
      <c r="F16"/>
      <c r="G16"/>
      <c r="H16"/>
      <c r="I16"/>
      <c r="J16" s="14"/>
      <c r="K16"/>
      <c r="N16" s="624"/>
      <c r="O16" s="360"/>
      <c r="P16" s="361"/>
      <c r="Q16" s="360"/>
      <c r="R16" s="32"/>
      <c r="S16" s="21"/>
      <c r="T16" s="16"/>
      <c r="U16" s="17"/>
      <c r="V16" s="2"/>
      <c r="W16" s="3"/>
      <c r="X16" s="3"/>
      <c r="Y16" s="6"/>
      <c r="AA16" s="8"/>
      <c r="AC16" s="1"/>
      <c r="AD16" s="1"/>
      <c r="AE16" s="1"/>
      <c r="AF16" s="1"/>
      <c r="AG16" s="1"/>
      <c r="AH16" s="44"/>
      <c r="AI16" s="45"/>
      <c r="AJ16" s="8"/>
      <c r="AK16" s="8"/>
      <c r="AM16" s="13"/>
      <c r="AN16" s="13"/>
      <c r="AO16" s="13"/>
      <c r="AP16" s="22"/>
    </row>
    <row r="17" spans="2:60">
      <c r="B17" s="4"/>
      <c r="C17" s="8"/>
      <c r="D17" s="2"/>
      <c r="E17" s="22"/>
      <c r="F17" s="3"/>
      <c r="G17" s="3"/>
      <c r="H17" s="6"/>
      <c r="I17"/>
      <c r="J17" s="8"/>
      <c r="K17"/>
      <c r="L17" s="2"/>
      <c r="M17"/>
      <c r="N17" s="625"/>
      <c r="O17" s="6"/>
      <c r="P17" s="362"/>
      <c r="Q17" s="6"/>
      <c r="R17" s="32"/>
      <c r="T17" s="169"/>
      <c r="V17" s="2"/>
      <c r="W17" s="6"/>
      <c r="X17" s="6"/>
      <c r="Y17" s="6"/>
      <c r="AA17" s="8"/>
      <c r="AC17" s="2"/>
      <c r="AE17" s="2"/>
      <c r="AF17" s="6"/>
      <c r="AG17" s="6"/>
      <c r="AH17" s="45"/>
      <c r="AI17" s="45"/>
      <c r="AK17" s="8"/>
      <c r="AM17" s="13"/>
      <c r="AN17" s="4"/>
      <c r="AO17" s="4"/>
      <c r="AP17" s="22"/>
    </row>
    <row r="18" spans="2:60">
      <c r="B18" s="4"/>
      <c r="C18" s="32"/>
      <c r="D18" s="2"/>
      <c r="E18" s="2"/>
      <c r="F18" s="6"/>
      <c r="G18"/>
      <c r="H18" s="6"/>
      <c r="I18"/>
      <c r="J18" s="8"/>
      <c r="K18" s="14"/>
      <c r="L18" s="14"/>
      <c r="M18" s="64"/>
      <c r="N18" s="153"/>
      <c r="O18" s="153"/>
      <c r="P18" s="153"/>
      <c r="Q18" s="153"/>
      <c r="R18" s="32"/>
      <c r="S18" s="63"/>
      <c r="T18" s="4"/>
      <c r="U18" s="46"/>
      <c r="V18" s="2"/>
      <c r="W18" s="3"/>
      <c r="X18" s="6"/>
      <c r="Y18" s="2"/>
      <c r="AH18" s="45"/>
      <c r="AI18" s="4"/>
      <c r="AJ18" s="8"/>
      <c r="AK18" s="8"/>
      <c r="AM18" s="4"/>
      <c r="AN18" s="13"/>
      <c r="AO18" s="13"/>
      <c r="AP18" s="22"/>
      <c r="AR18" s="9"/>
      <c r="AS18" s="4"/>
      <c r="AT18" s="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60" ht="15.75" customHeight="1">
      <c r="B19" s="4"/>
      <c r="C19" s="5" t="s">
        <v>320</v>
      </c>
      <c r="F19" s="22"/>
      <c r="H19"/>
      <c r="I19" s="13"/>
      <c r="J19" s="13"/>
      <c r="K19" s="22"/>
      <c r="L19" s="22"/>
      <c r="M19" s="22"/>
      <c r="N19"/>
      <c r="O19"/>
      <c r="P19"/>
      <c r="R19" s="21"/>
      <c r="S19" s="32"/>
      <c r="T19" s="4"/>
      <c r="U19" s="32"/>
      <c r="V19" s="2"/>
      <c r="W19" s="6"/>
      <c r="X19" s="6"/>
      <c r="Y19" s="2"/>
      <c r="AH19" s="45"/>
      <c r="AI19" s="4"/>
      <c r="AJ19" s="8"/>
      <c r="AK19" s="8"/>
      <c r="AM19" s="13"/>
      <c r="AN19" s="13"/>
      <c r="AO19" s="13"/>
      <c r="AP19" s="22"/>
    </row>
    <row r="20" spans="2:60" ht="15.75" customHeight="1">
      <c r="B20" s="4"/>
      <c r="C20" s="1300" t="s">
        <v>695</v>
      </c>
      <c r="D20"/>
      <c r="E20" s="32"/>
      <c r="F20"/>
      <c r="G20" s="22"/>
      <c r="H20" s="22"/>
      <c r="I20" s="22"/>
      <c r="J20" s="22"/>
      <c r="N20"/>
      <c r="O20" s="201"/>
      <c r="Q20" s="1"/>
      <c r="R20" s="32"/>
      <c r="S20" s="63"/>
      <c r="T20" s="116"/>
      <c r="U20" s="46"/>
      <c r="V20" s="16"/>
      <c r="W20" s="17"/>
      <c r="X20" s="8"/>
      <c r="AH20" s="45"/>
      <c r="AI20" s="4"/>
      <c r="AJ20" s="8"/>
      <c r="AK20" s="8"/>
      <c r="AM20" s="13"/>
      <c r="AN20" s="13"/>
      <c r="AO20" s="13"/>
      <c r="AP20" s="22"/>
      <c r="AR20" s="9"/>
      <c r="AS20" s="4"/>
      <c r="AT20" s="4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60" ht="20.25" customHeight="1">
      <c r="C21" s="7" t="s">
        <v>754</v>
      </c>
      <c r="D21" s="8"/>
      <c r="E21" s="2"/>
      <c r="F21" s="3"/>
      <c r="G21" s="3"/>
      <c r="H21" s="94"/>
      <c r="J21" s="9"/>
      <c r="K21" s="5"/>
      <c r="M21"/>
      <c r="N21" s="21"/>
      <c r="O21" s="16"/>
      <c r="P21" s="17"/>
      <c r="Q21" s="1"/>
      <c r="R21" s="32"/>
      <c r="S21" s="32"/>
      <c r="T21" s="4"/>
      <c r="U21" s="8"/>
      <c r="V21" s="2"/>
      <c r="W21" s="3"/>
      <c r="X21" s="3"/>
      <c r="Y21" s="6"/>
      <c r="AB21" s="2"/>
      <c r="AC21" s="2"/>
      <c r="AD21" s="2"/>
      <c r="AE21" s="3"/>
      <c r="AF21" s="3"/>
      <c r="AG21" s="1"/>
      <c r="AI21" s="40"/>
      <c r="AK21" s="8"/>
      <c r="AM21" s="13"/>
      <c r="AN21" s="343"/>
      <c r="AO21" s="13"/>
      <c r="AP21" s="22"/>
    </row>
    <row r="22" spans="2:60" ht="15.75" customHeight="1">
      <c r="B22" s="224"/>
      <c r="C22" s="4"/>
      <c r="E22"/>
      <c r="F22"/>
      <c r="G22" s="6"/>
      <c r="H22" s="6"/>
      <c r="I22"/>
      <c r="J22" s="9"/>
      <c r="K22"/>
      <c r="L22"/>
      <c r="M22"/>
      <c r="N22" s="63"/>
      <c r="O22" s="4"/>
      <c r="P22" s="46"/>
      <c r="Q22" s="1"/>
      <c r="S22" s="32"/>
      <c r="T22" s="4"/>
      <c r="U22" s="8"/>
      <c r="X22" s="6"/>
      <c r="Y22" s="6"/>
      <c r="AB22" s="2"/>
      <c r="AC22" s="2"/>
      <c r="AD22" s="2"/>
      <c r="AE22" s="6"/>
      <c r="AF22" s="6"/>
      <c r="AG22" s="1"/>
      <c r="AH22" s="39"/>
      <c r="AK22" s="8"/>
      <c r="AM22" s="343"/>
      <c r="AN22" s="13"/>
      <c r="AO22" s="13"/>
      <c r="AP22" s="22"/>
    </row>
    <row r="23" spans="2:60" ht="13.5" customHeight="1">
      <c r="B23" s="45"/>
      <c r="C23" s="523" t="s">
        <v>696</v>
      </c>
      <c r="K23"/>
      <c r="L23"/>
      <c r="N23" s="32"/>
      <c r="O23" s="4"/>
      <c r="P23" s="32"/>
      <c r="Q23" s="1"/>
      <c r="S23" s="32"/>
      <c r="T23" s="4"/>
      <c r="U23" s="8"/>
      <c r="X23" s="6"/>
      <c r="Y23" s="2"/>
      <c r="AB23" s="5"/>
      <c r="AC23" s="1"/>
      <c r="AE23" s="1"/>
      <c r="AF23" s="1"/>
      <c r="AG23" s="1"/>
      <c r="AH23" s="30"/>
      <c r="AI23" s="4"/>
      <c r="AJ23" s="8"/>
      <c r="AK23" s="14"/>
      <c r="AM23" s="13"/>
      <c r="AN23" s="13"/>
      <c r="AO23" s="13"/>
      <c r="AP23" s="22"/>
    </row>
    <row r="24" spans="2:60" ht="13.5" customHeight="1">
      <c r="B24" s="55"/>
      <c r="K24"/>
      <c r="L24"/>
      <c r="M24"/>
      <c r="N24"/>
      <c r="O24"/>
      <c r="P24"/>
      <c r="Q24" s="711"/>
      <c r="T24" s="169"/>
      <c r="AE24" s="1"/>
      <c r="AF24" s="1"/>
      <c r="AG24" s="1"/>
      <c r="AH24" s="32"/>
      <c r="AI24" s="4"/>
      <c r="AJ24" s="8"/>
      <c r="AK24" s="14"/>
      <c r="AM24" s="343"/>
      <c r="AN24" s="13"/>
      <c r="AO24" s="13"/>
      <c r="AP24" s="22"/>
    </row>
    <row r="25" spans="2:60" ht="12.75" customHeight="1">
      <c r="C25" s="19" t="s">
        <v>247</v>
      </c>
      <c r="E25"/>
      <c r="G25" s="6"/>
      <c r="H25" s="2"/>
      <c r="I25"/>
      <c r="J25" s="9"/>
      <c r="K25" s="44"/>
      <c r="L25" s="44"/>
      <c r="M25" s="44"/>
      <c r="O25" s="4"/>
      <c r="P25" s="8"/>
      <c r="Q25" s="8"/>
      <c r="S25" s="45"/>
      <c r="T25" s="4"/>
      <c r="U25" s="8"/>
      <c r="AD25" s="1"/>
      <c r="AE25" s="1"/>
      <c r="AF25" s="1"/>
      <c r="AG25" s="1"/>
      <c r="AH25" s="32"/>
      <c r="AI25" s="4"/>
      <c r="AJ25" s="8"/>
      <c r="AK25" s="8"/>
      <c r="AM25" s="13"/>
      <c r="AN25" s="13"/>
      <c r="AO25" s="13"/>
      <c r="AP25" s="2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2:60" ht="13.5" customHeight="1">
      <c r="B26" s="32"/>
      <c r="C26" s="46"/>
      <c r="D26" s="46"/>
      <c r="E26" s="9"/>
      <c r="F26" s="9"/>
      <c r="G26" s="9"/>
      <c r="H26" s="32"/>
      <c r="I26" s="4"/>
      <c r="J26" s="9"/>
      <c r="K26" s="44"/>
      <c r="L26" s="44"/>
      <c r="M26" s="222"/>
      <c r="N26" s="32"/>
      <c r="O26" s="4"/>
      <c r="P26" s="8"/>
      <c r="Q26" s="9"/>
      <c r="S26" s="55"/>
      <c r="T26" s="218"/>
      <c r="U26" s="46"/>
      <c r="AE26" s="1"/>
      <c r="AH26" s="32"/>
      <c r="AI26" s="4"/>
      <c r="AJ26" s="46"/>
      <c r="AK26" s="8"/>
      <c r="AM26" s="13"/>
      <c r="AN26" s="13"/>
      <c r="AO26" s="13"/>
      <c r="AP26" s="22"/>
    </row>
    <row r="27" spans="2:60" ht="15.75" customHeight="1">
      <c r="B27" s="33"/>
      <c r="C27" s="46"/>
      <c r="D27"/>
      <c r="E27"/>
      <c r="F27"/>
      <c r="G27"/>
      <c r="H27" s="33"/>
      <c r="I27" s="4"/>
      <c r="J27" s="9"/>
      <c r="K27" s="44"/>
      <c r="L27" s="44"/>
      <c r="M27" s="44"/>
      <c r="N27" s="32"/>
      <c r="O27" s="4"/>
      <c r="P27" s="8"/>
      <c r="Q27" s="8"/>
      <c r="R27" s="45"/>
      <c r="S27" s="33"/>
      <c r="T27" s="4"/>
      <c r="U27" s="8"/>
      <c r="Y27" s="32"/>
      <c r="Z27" s="8"/>
      <c r="AA27" s="9"/>
      <c r="AB27" s="44"/>
      <c r="AC27" s="44"/>
      <c r="AD27" s="44"/>
      <c r="AE27" s="111"/>
      <c r="AF27" s="44"/>
      <c r="AG27" s="44"/>
      <c r="AH27" s="44"/>
      <c r="AI27" s="44"/>
      <c r="AJ27" s="44"/>
      <c r="AK27" s="44"/>
      <c r="AL27" s="44"/>
      <c r="AM27" s="44"/>
      <c r="AN27" s="8"/>
      <c r="AO27" s="8"/>
      <c r="AP27" s="22"/>
      <c r="AQ27" s="14"/>
      <c r="AR27" s="14"/>
      <c r="AS27" s="9"/>
      <c r="AT27" s="4"/>
      <c r="AU27" s="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36"/>
    </row>
    <row r="28" spans="2:60" ht="17.25" customHeight="1">
      <c r="C28" s="94" t="s">
        <v>685</v>
      </c>
      <c r="E28"/>
      <c r="H28"/>
      <c r="K28" s="44"/>
      <c r="L28" s="5" t="s">
        <v>316</v>
      </c>
      <c r="N28" s="33"/>
      <c r="O28" s="4"/>
      <c r="P28" s="8"/>
      <c r="Q28" s="8"/>
      <c r="R28" s="45"/>
      <c r="S28" s="32"/>
      <c r="T28" s="4"/>
      <c r="U28" s="8"/>
      <c r="Y28" s="32"/>
      <c r="Z28" s="4"/>
      <c r="AA28" s="9"/>
      <c r="AB28" s="44"/>
      <c r="AC28" s="44"/>
      <c r="AD28" s="222"/>
      <c r="AE28" s="111"/>
      <c r="AF28" s="44"/>
      <c r="AG28" s="153"/>
      <c r="AH28" s="153"/>
      <c r="AI28" s="153"/>
      <c r="AJ28" s="153"/>
      <c r="AK28" s="153"/>
      <c r="AL28" s="153"/>
      <c r="AM28" s="153"/>
      <c r="AN28" s="8"/>
      <c r="AO28" s="8"/>
      <c r="AP28" s="22"/>
    </row>
    <row r="29" spans="2:60" ht="13.5" customHeight="1">
      <c r="C29" s="4"/>
      <c r="D29" s="8"/>
      <c r="E29"/>
      <c r="F29"/>
      <c r="G29"/>
      <c r="H29"/>
      <c r="I29"/>
      <c r="J29"/>
      <c r="K29" s="44"/>
      <c r="L29" s="152"/>
      <c r="M29" s="44"/>
      <c r="N29" s="39"/>
      <c r="O29"/>
      <c r="P29" s="40"/>
      <c r="Q29" s="8"/>
      <c r="R29" s="45"/>
      <c r="S29" s="32"/>
      <c r="T29" s="4"/>
      <c r="U29" s="8"/>
      <c r="Y29" s="32"/>
      <c r="Z29" s="4"/>
      <c r="AA29" s="9"/>
      <c r="AB29" s="44"/>
      <c r="AC29" s="44"/>
      <c r="AD29" s="44"/>
      <c r="AE29" s="111"/>
      <c r="AF29" s="44"/>
      <c r="AG29" s="44"/>
      <c r="AH29" s="44"/>
      <c r="AI29" s="222"/>
      <c r="AJ29" s="44"/>
      <c r="AK29" s="152"/>
      <c r="AL29" s="44"/>
      <c r="AM29" s="44"/>
      <c r="AN29" s="8"/>
      <c r="AO29" s="8"/>
      <c r="AP29" s="22"/>
    </row>
    <row r="30" spans="2:60" ht="15.75" customHeight="1">
      <c r="C30" s="40"/>
      <c r="D30"/>
      <c r="E30"/>
      <c r="F30"/>
      <c r="G30"/>
      <c r="H30"/>
      <c r="I30"/>
      <c r="J30" s="8"/>
      <c r="K30" s="41"/>
      <c r="L30" s="4"/>
      <c r="M30" s="8"/>
      <c r="N30" s="32"/>
      <c r="O30" s="4"/>
      <c r="P30" s="8"/>
      <c r="Q30" s="711"/>
      <c r="R30" s="45"/>
      <c r="T30" s="169"/>
      <c r="V30" s="9"/>
      <c r="W30" s="9"/>
      <c r="X30" s="9"/>
      <c r="Y30" s="32"/>
      <c r="Z30" s="4"/>
      <c r="AA30" s="9"/>
      <c r="AB30" s="44"/>
      <c r="AC30" s="44"/>
      <c r="AD30" s="44"/>
      <c r="AE30" s="111"/>
      <c r="AF30" s="730"/>
      <c r="AG30" s="44"/>
      <c r="AH30" s="44"/>
      <c r="AI30" s="222"/>
      <c r="AJ30" s="223"/>
      <c r="AK30" s="152"/>
      <c r="AL30" s="44"/>
      <c r="AM30" s="44"/>
      <c r="AN30" s="8"/>
      <c r="AO30" s="8"/>
      <c r="AP30" s="9"/>
    </row>
    <row r="31" spans="2:60" ht="15" customHeight="1">
      <c r="C31" s="354" t="s">
        <v>697</v>
      </c>
      <c r="D31"/>
      <c r="E31"/>
      <c r="F31" s="20"/>
      <c r="G31" s="363"/>
      <c r="H31"/>
      <c r="I31" s="20"/>
      <c r="J31" s="20"/>
      <c r="K31"/>
      <c r="L31" s="43"/>
      <c r="M31"/>
      <c r="N31" s="626"/>
      <c r="O31" s="4"/>
      <c r="P31" s="8"/>
      <c r="Q31" s="711"/>
      <c r="R31" s="32"/>
      <c r="S31" s="32"/>
      <c r="T31" s="4"/>
      <c r="U31" s="66"/>
      <c r="Y31" s="33"/>
      <c r="Z31" s="4"/>
      <c r="AA31" s="9"/>
      <c r="AB31" s="44"/>
      <c r="AC31" s="152"/>
      <c r="AD31" s="44"/>
      <c r="AE31" s="111"/>
      <c r="AF31" s="44"/>
      <c r="AG31" s="44"/>
      <c r="AH31" s="44"/>
      <c r="AI31" s="222"/>
      <c r="AJ31" s="223"/>
      <c r="AK31" s="44"/>
      <c r="AL31" s="223"/>
      <c r="AM31" s="44"/>
      <c r="AN31" s="8"/>
      <c r="AO31" s="8"/>
      <c r="AP31" s="731"/>
    </row>
    <row r="32" spans="2:60" ht="13.5" customHeight="1">
      <c r="C32" s="1"/>
      <c r="E32"/>
      <c r="G32"/>
      <c r="H32"/>
      <c r="I32"/>
      <c r="J32"/>
      <c r="K32"/>
      <c r="L32"/>
      <c r="M32"/>
      <c r="N32" s="626"/>
      <c r="O32" s="4"/>
      <c r="P32" s="8"/>
      <c r="Q32" s="8"/>
      <c r="R32" s="32"/>
      <c r="S32" s="55"/>
      <c r="T32" s="218"/>
      <c r="U32" s="66"/>
      <c r="AE32" s="8"/>
      <c r="AJ32" s="8"/>
      <c r="AK32" s="8"/>
      <c r="AL32" s="8"/>
      <c r="AM32" s="8"/>
      <c r="AN32" s="8"/>
      <c r="AO32" s="8"/>
      <c r="AP32" s="731"/>
    </row>
    <row r="33" spans="2:42" ht="14.25" customHeight="1">
      <c r="D33"/>
      <c r="E33"/>
      <c r="F33"/>
      <c r="G33"/>
      <c r="H33"/>
      <c r="I33"/>
      <c r="J33"/>
      <c r="K33" s="4"/>
      <c r="L33"/>
      <c r="M33"/>
      <c r="N33" s="45"/>
      <c r="O33" s="4"/>
      <c r="P33" s="8"/>
      <c r="Q33" s="8"/>
      <c r="S33" s="33"/>
      <c r="T33" s="4"/>
      <c r="U33" s="9"/>
      <c r="AE33" s="8"/>
      <c r="AJ33" s="8"/>
      <c r="AK33" s="8"/>
      <c r="AL33" s="8"/>
      <c r="AM33" s="8"/>
      <c r="AN33" s="8"/>
      <c r="AO33" s="8"/>
      <c r="AP33" s="22"/>
    </row>
    <row r="34" spans="2:42" ht="12.75" customHeight="1">
      <c r="B34" s="364"/>
      <c r="C34" s="365"/>
      <c r="D34" s="366"/>
      <c r="E34" s="367"/>
      <c r="F34" s="42"/>
      <c r="G34" s="42"/>
      <c r="H34" s="42"/>
      <c r="I34" s="42"/>
      <c r="J34" s="42"/>
      <c r="K34" s="42"/>
      <c r="L34" s="364"/>
      <c r="M34" s="364"/>
      <c r="N34" s="55"/>
      <c r="O34" s="4"/>
      <c r="P34" s="8"/>
      <c r="Q34" s="8"/>
      <c r="R34" s="39"/>
      <c r="T34" s="40"/>
      <c r="AA34" s="8"/>
      <c r="AB34" s="41"/>
      <c r="AC34" s="4"/>
      <c r="AD34" s="8"/>
      <c r="AE34" s="711"/>
      <c r="AJ34" s="8"/>
      <c r="AK34" s="8"/>
      <c r="AL34" s="8"/>
      <c r="AM34" s="8"/>
      <c r="AN34" s="344"/>
      <c r="AO34" s="8"/>
      <c r="AP34" s="22"/>
    </row>
    <row r="35" spans="2:42" ht="16.5" customHeight="1">
      <c r="B35" s="49"/>
      <c r="C35" s="49"/>
      <c r="D35" s="49"/>
      <c r="E35" s="368"/>
      <c r="F35" s="49"/>
      <c r="G35" s="49"/>
      <c r="H35" s="49"/>
      <c r="I35" s="49"/>
      <c r="J35" s="49"/>
      <c r="K35" s="49"/>
      <c r="L35" s="49"/>
      <c r="M35" s="49"/>
      <c r="N35" s="45"/>
      <c r="O35" s="4"/>
      <c r="P35" s="8"/>
      <c r="Q35" s="8"/>
      <c r="W35" s="20"/>
      <c r="X35" s="363"/>
      <c r="Z35" s="20"/>
      <c r="AA35" s="20"/>
      <c r="AC35" s="43"/>
      <c r="AF35" s="9"/>
      <c r="AM35" s="8"/>
      <c r="AN35" s="8"/>
      <c r="AO35" s="8"/>
      <c r="AP35" s="22"/>
    </row>
    <row r="36" spans="2:42" ht="15" customHeight="1">
      <c r="B36" s="44"/>
      <c r="C36" s="44"/>
      <c r="D36" s="152"/>
      <c r="E36" s="111"/>
      <c r="F36" s="44"/>
      <c r="G36" s="153"/>
      <c r="H36" s="153"/>
      <c r="I36" s="153"/>
      <c r="J36" s="153"/>
      <c r="K36" s="153"/>
      <c r="L36" s="153"/>
      <c r="M36" s="153"/>
      <c r="N36" s="45"/>
      <c r="O36" s="4"/>
      <c r="P36" s="8"/>
      <c r="Q36" s="8"/>
      <c r="AH36" s="39"/>
      <c r="AJ36" s="40"/>
      <c r="AM36" s="8"/>
      <c r="AN36" s="8"/>
      <c r="AO36" s="8"/>
      <c r="AP36" s="22"/>
    </row>
    <row r="37" spans="2:42" ht="16.5" customHeight="1">
      <c r="B37" s="369"/>
      <c r="C37" s="369"/>
      <c r="D37" s="369"/>
      <c r="E37" s="370"/>
      <c r="F37" s="369"/>
      <c r="G37" s="369"/>
      <c r="H37" s="371"/>
      <c r="I37" s="369"/>
      <c r="J37" s="371"/>
      <c r="K37" s="371"/>
      <c r="L37" s="369"/>
      <c r="M37" s="369"/>
      <c r="N37" s="39"/>
      <c r="O37"/>
      <c r="P37"/>
      <c r="Q37" s="8"/>
      <c r="V37" s="20"/>
      <c r="W37" s="20"/>
      <c r="Y37" s="20"/>
      <c r="Z37" s="20"/>
      <c r="AB37" s="4"/>
      <c r="AI37" s="169"/>
      <c r="AM37" s="8"/>
      <c r="AN37" s="8"/>
      <c r="AO37" s="8"/>
      <c r="AP37" s="22"/>
    </row>
    <row r="38" spans="2:42" ht="13.5" customHeight="1">
      <c r="D38"/>
      <c r="E38"/>
      <c r="F38"/>
      <c r="G38"/>
      <c r="H38"/>
      <c r="I38"/>
      <c r="J38"/>
      <c r="K38"/>
      <c r="L38"/>
      <c r="M38"/>
      <c r="N38" s="63"/>
      <c r="O38" s="4"/>
      <c r="P38" s="116"/>
      <c r="Q38" s="8"/>
      <c r="S38" s="364"/>
      <c r="T38" s="365"/>
      <c r="U38" s="366"/>
      <c r="V38" s="367"/>
      <c r="W38" s="42"/>
      <c r="X38" s="42"/>
      <c r="Y38" s="42"/>
      <c r="Z38" s="42"/>
      <c r="AA38" s="42"/>
      <c r="AB38" s="42"/>
      <c r="AC38" s="364"/>
      <c r="AD38" s="364"/>
      <c r="AE38" s="698"/>
      <c r="AH38" s="32"/>
      <c r="AI38" s="4"/>
      <c r="AJ38" s="8"/>
      <c r="AM38" s="708"/>
      <c r="AN38" s="708"/>
      <c r="AO38" s="708"/>
      <c r="AP38" s="22"/>
    </row>
    <row r="39" spans="2:42" ht="17.25" customHeight="1">
      <c r="D39"/>
      <c r="E39"/>
      <c r="F39"/>
      <c r="G39"/>
      <c r="H39"/>
      <c r="I39"/>
      <c r="J39"/>
      <c r="K39" s="43"/>
      <c r="L39"/>
      <c r="M39" s="43"/>
      <c r="N39" s="30"/>
      <c r="O39" s="4"/>
      <c r="P39" s="8"/>
      <c r="S39" s="49"/>
      <c r="T39" s="49"/>
      <c r="U39" s="49"/>
      <c r="V39" s="368"/>
      <c r="W39" s="49"/>
      <c r="X39" s="49"/>
      <c r="Y39" s="49"/>
      <c r="Z39" s="49"/>
      <c r="AA39" s="49"/>
      <c r="AB39" s="49"/>
      <c r="AC39" s="49"/>
      <c r="AD39" s="49"/>
      <c r="AE39" s="49"/>
      <c r="AF39" s="8"/>
      <c r="AH39" s="224"/>
      <c r="AI39" s="4"/>
      <c r="AJ39" s="8"/>
      <c r="AM39" s="13"/>
      <c r="AN39" s="13"/>
      <c r="AO39" s="13"/>
      <c r="AP39" s="22"/>
    </row>
    <row r="40" spans="2:42" ht="13.5" customHeight="1">
      <c r="D40"/>
      <c r="E40" s="146"/>
      <c r="F40"/>
      <c r="G40"/>
      <c r="H40"/>
      <c r="I40"/>
      <c r="J40"/>
      <c r="K40"/>
      <c r="L40"/>
      <c r="M40" s="43"/>
      <c r="N40" s="32"/>
      <c r="O40" s="4"/>
      <c r="P40" s="8"/>
      <c r="S40" s="44"/>
      <c r="T40" s="152"/>
      <c r="U40" s="44"/>
      <c r="V40" s="111"/>
      <c r="W40" s="44"/>
      <c r="X40" s="44"/>
      <c r="Y40" s="44"/>
      <c r="Z40" s="44"/>
      <c r="AA40" s="44"/>
      <c r="AB40" s="44"/>
      <c r="AC40" s="223"/>
      <c r="AD40" s="44"/>
      <c r="AE40" s="430"/>
      <c r="AH40" s="45"/>
      <c r="AI40" s="4"/>
      <c r="AJ40" s="116"/>
      <c r="AM40" s="343"/>
      <c r="AN40" s="4"/>
      <c r="AO40" s="4"/>
      <c r="AP40" s="9"/>
    </row>
    <row r="41" spans="2:42" ht="15" customHeight="1">
      <c r="B41" s="39"/>
      <c r="D41"/>
      <c r="E41"/>
      <c r="F41"/>
      <c r="G41"/>
      <c r="H41"/>
      <c r="I41"/>
      <c r="J41"/>
      <c r="K41"/>
      <c r="L41"/>
      <c r="M41"/>
      <c r="N41" s="32"/>
      <c r="O41" s="4"/>
      <c r="P41" s="8"/>
      <c r="S41" s="369"/>
      <c r="T41" s="369"/>
      <c r="U41" s="369"/>
      <c r="V41" s="370"/>
      <c r="W41" s="369"/>
      <c r="X41" s="369"/>
      <c r="Y41" s="371"/>
      <c r="Z41" s="369"/>
      <c r="AA41" s="371"/>
      <c r="AB41" s="371"/>
      <c r="AC41" s="369"/>
      <c r="AD41" s="369"/>
      <c r="AE41" s="369"/>
      <c r="AH41" s="32"/>
      <c r="AI41" s="4"/>
      <c r="AJ41" s="8"/>
      <c r="AM41" s="13"/>
      <c r="AN41" s="13"/>
      <c r="AO41" s="13"/>
      <c r="AP41" s="22"/>
    </row>
    <row r="42" spans="2:42" ht="12" customHeight="1">
      <c r="D42" s="116"/>
      <c r="E42"/>
      <c r="F42"/>
      <c r="G42"/>
      <c r="H42"/>
      <c r="I42"/>
      <c r="J42"/>
      <c r="K42"/>
      <c r="L42"/>
      <c r="M42"/>
      <c r="N42" s="32"/>
      <c r="O42" s="4"/>
      <c r="P42" s="46"/>
      <c r="AH42" s="45"/>
      <c r="AI42" s="4"/>
      <c r="AJ42" s="8"/>
      <c r="AM42" s="13"/>
      <c r="AN42" s="13"/>
      <c r="AO42" s="13"/>
      <c r="AP42" s="22"/>
    </row>
    <row r="43" spans="2:42" ht="12" customHeight="1">
      <c r="B43" s="30"/>
      <c r="C43" s="4"/>
      <c r="D43" s="8"/>
      <c r="E43"/>
      <c r="F43"/>
      <c r="G43" s="8"/>
      <c r="H43" s="8"/>
      <c r="I43" s="8"/>
      <c r="J43" s="8"/>
      <c r="K43" s="8"/>
      <c r="L43" s="8"/>
      <c r="M43" s="8"/>
      <c r="N43" s="32"/>
      <c r="O43" s="4"/>
      <c r="P43" s="8"/>
      <c r="AB43" s="43"/>
      <c r="AD43" s="43"/>
      <c r="AH43" s="45"/>
      <c r="AI43" s="4"/>
      <c r="AJ43" s="8"/>
      <c r="AM43" s="4"/>
      <c r="AN43" s="13"/>
      <c r="AO43" s="13"/>
      <c r="AP43" s="22"/>
    </row>
    <row r="44" spans="2:42" ht="15" customHeight="1">
      <c r="B44" s="32"/>
      <c r="C44" s="4"/>
      <c r="D44" s="8"/>
      <c r="E44"/>
      <c r="F44"/>
      <c r="G44" s="8"/>
      <c r="H44" s="8"/>
      <c r="I44" s="8"/>
      <c r="J44" s="8"/>
      <c r="K44"/>
      <c r="L44"/>
      <c r="M44"/>
      <c r="N44" s="33"/>
      <c r="O44" s="4"/>
      <c r="P44" s="8"/>
      <c r="V44" s="146"/>
      <c r="AD44" s="43"/>
      <c r="AI44" s="40"/>
      <c r="AM44" s="13"/>
      <c r="AN44" s="21"/>
      <c r="AO44" s="13"/>
      <c r="AP44" s="22"/>
    </row>
    <row r="45" spans="2:42" ht="16.5" customHeight="1">
      <c r="B45" s="32"/>
      <c r="K45" s="8"/>
      <c r="L45" s="8"/>
      <c r="M45"/>
      <c r="N45"/>
      <c r="O45"/>
      <c r="P45" s="40"/>
      <c r="R45" s="32"/>
      <c r="S45" s="39"/>
      <c r="AI45" s="40"/>
      <c r="AM45" s="13"/>
      <c r="AN45" s="13"/>
      <c r="AO45" s="13"/>
      <c r="AP45" s="22"/>
    </row>
    <row r="46" spans="2:42" ht="16.5" customHeight="1">
      <c r="R46" s="39"/>
      <c r="S46" s="32"/>
      <c r="T46" s="4"/>
      <c r="U46" s="8"/>
      <c r="AM46" s="13"/>
      <c r="AN46" s="13"/>
      <c r="AO46" s="13"/>
      <c r="AP46" s="22"/>
    </row>
    <row r="47" spans="2:42" ht="15.75" customHeight="1">
      <c r="R47" s="39"/>
      <c r="S47" s="32"/>
      <c r="T47" s="4"/>
      <c r="U47" s="8"/>
      <c r="X47" s="8"/>
      <c r="Y47" s="8"/>
      <c r="Z47" s="8"/>
      <c r="AA47" s="8"/>
      <c r="AB47" s="8"/>
      <c r="AC47" s="8"/>
      <c r="AD47" s="8"/>
      <c r="AE47" s="8"/>
      <c r="AH47" s="45"/>
      <c r="AI47" s="4"/>
      <c r="AJ47" s="8"/>
      <c r="AM47" s="13"/>
      <c r="AN47" s="4"/>
      <c r="AO47" s="4"/>
      <c r="AP47" s="8"/>
    </row>
    <row r="48" spans="2:42" ht="12.75" customHeight="1">
      <c r="R48" s="30"/>
      <c r="S48" s="45"/>
      <c r="T48" s="4"/>
      <c r="U48" s="211"/>
      <c r="X48" s="8"/>
      <c r="Y48" s="8"/>
      <c r="Z48" s="8"/>
      <c r="AA48" s="8"/>
      <c r="AH48" s="32"/>
      <c r="AI48" s="4"/>
      <c r="AJ48" s="8"/>
      <c r="AM48" s="13"/>
      <c r="AN48" s="4"/>
      <c r="AO48" s="4"/>
      <c r="AP48" s="46"/>
    </row>
    <row r="49" spans="1:56" ht="15" customHeight="1">
      <c r="R49" s="32"/>
      <c r="S49" s="32"/>
      <c r="T49" s="4"/>
      <c r="U49" s="8"/>
      <c r="X49" s="8"/>
      <c r="Y49" s="8"/>
      <c r="Z49" s="8"/>
      <c r="AA49" s="8"/>
      <c r="AB49" s="8"/>
      <c r="AC49" s="8"/>
      <c r="AD49" s="8"/>
      <c r="AE49" s="8"/>
      <c r="AI49" s="40"/>
      <c r="AN49" s="13"/>
      <c r="AO49" s="13"/>
      <c r="AP49" s="22"/>
    </row>
    <row r="50" spans="1:56" ht="16.5" customHeight="1">
      <c r="C50" s="1" t="s">
        <v>248</v>
      </c>
      <c r="D50"/>
      <c r="E50"/>
      <c r="F50"/>
      <c r="G50" t="s">
        <v>145</v>
      </c>
      <c r="H50"/>
      <c r="I50"/>
      <c r="R50" s="32"/>
      <c r="S50" s="45"/>
      <c r="T50" s="4"/>
      <c r="U50" s="8"/>
      <c r="Y50" s="8"/>
      <c r="Z50" s="8"/>
      <c r="AA50" s="8"/>
      <c r="AB50" s="8"/>
      <c r="AC50" s="8"/>
      <c r="AD50" s="8"/>
      <c r="AE50" s="8"/>
    </row>
    <row r="51" spans="1:56" ht="15" customHeight="1">
      <c r="R51" s="32"/>
      <c r="S51" s="45"/>
      <c r="T51" s="4"/>
      <c r="U51" s="8"/>
    </row>
    <row r="52" spans="1:56" ht="15.75" customHeight="1">
      <c r="E52" t="s">
        <v>249</v>
      </c>
      <c r="R52" s="32"/>
      <c r="T52" s="40"/>
    </row>
    <row r="53" spans="1:56" ht="14.25" customHeight="1">
      <c r="R53" s="117"/>
      <c r="T53" s="40"/>
    </row>
    <row r="54" spans="1:56" ht="15" customHeight="1">
      <c r="R54" s="32"/>
      <c r="T54" s="169"/>
      <c r="V54" s="44"/>
      <c r="W54" s="44"/>
      <c r="X54" s="44"/>
      <c r="Y54" s="111"/>
      <c r="Z54" s="44"/>
      <c r="AA54" s="44"/>
      <c r="AB54" s="44"/>
      <c r="AC54" s="44"/>
      <c r="AD54" s="44"/>
      <c r="AE54" s="44"/>
      <c r="AF54" s="44"/>
      <c r="AG54" s="44"/>
      <c r="AH54" s="153"/>
    </row>
    <row r="55" spans="1:56" ht="18" customHeight="1">
      <c r="S55" s="55"/>
      <c r="T55" s="46"/>
      <c r="U55" s="46"/>
    </row>
    <row r="56" spans="1:56" ht="15" customHeight="1">
      <c r="E56" s="153"/>
      <c r="F56" s="153"/>
      <c r="G56" s="153"/>
      <c r="R56" s="32"/>
      <c r="T56" s="46"/>
      <c r="V56" s="711"/>
      <c r="W56" s="8"/>
      <c r="X56" s="8"/>
      <c r="Y56" s="8"/>
      <c r="Z56" s="8"/>
      <c r="AA56" s="8"/>
      <c r="AB56" s="8"/>
      <c r="AC56" s="8"/>
      <c r="AD56" s="8"/>
      <c r="AE56" s="14"/>
    </row>
    <row r="57" spans="1:56" ht="12.75" customHeight="1">
      <c r="R57" s="32"/>
      <c r="S57" s="32"/>
      <c r="T57" s="4"/>
      <c r="U57" s="4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56" ht="12.75" customHeight="1">
      <c r="D58" s="5" t="s">
        <v>286</v>
      </c>
      <c r="K58"/>
      <c r="L58"/>
      <c r="M58"/>
      <c r="N58"/>
      <c r="O58"/>
      <c r="P58"/>
      <c r="S58" s="33"/>
      <c r="T58" s="4"/>
      <c r="U58" s="8"/>
    </row>
    <row r="59" spans="1:56" ht="15.75" customHeight="1">
      <c r="C59" s="1300" t="s">
        <v>695</v>
      </c>
      <c r="D59"/>
      <c r="E59" s="32"/>
      <c r="T59" s="40"/>
    </row>
    <row r="60" spans="1:56" ht="14.25" customHeight="1">
      <c r="C60" s="7" t="s">
        <v>754</v>
      </c>
      <c r="D60" s="8"/>
      <c r="E60" s="2"/>
      <c r="F60"/>
      <c r="I60"/>
      <c r="J60"/>
      <c r="K60" s="13"/>
      <c r="L60" s="13"/>
      <c r="M60"/>
      <c r="N60"/>
      <c r="O60"/>
      <c r="P60"/>
    </row>
    <row r="61" spans="1:56" ht="15" customHeight="1">
      <c r="E61" s="1300" t="s">
        <v>694</v>
      </c>
      <c r="F61"/>
      <c r="G61" s="19"/>
      <c r="H61" s="19"/>
      <c r="I61" s="13"/>
      <c r="J61" s="13"/>
      <c r="L61"/>
      <c r="M61" s="169"/>
      <c r="N61"/>
      <c r="AN61" s="2"/>
      <c r="AO61" s="2"/>
      <c r="AP61" s="49"/>
    </row>
    <row r="62" spans="1:56" ht="18" customHeight="1">
      <c r="A62" s="48"/>
      <c r="C62" s="1" t="s">
        <v>359</v>
      </c>
      <c r="W62" s="20"/>
      <c r="X62" s="363"/>
      <c r="Z62" s="20"/>
      <c r="AA62" s="20"/>
      <c r="AC62" s="43"/>
      <c r="AM62" s="21"/>
      <c r="AN62" s="13"/>
      <c r="AO62" s="22"/>
      <c r="AP62" s="22"/>
    </row>
    <row r="63" spans="1:56">
      <c r="C63" s="19" t="s">
        <v>282</v>
      </c>
      <c r="Q63" s="1301"/>
      <c r="R63" s="3"/>
      <c r="AE63" s="32"/>
      <c r="BA63" s="13"/>
      <c r="BB63" s="13"/>
      <c r="BC63" s="22"/>
      <c r="BD63" s="22"/>
    </row>
    <row r="64" spans="1:56" ht="15" customHeight="1">
      <c r="B64" s="20" t="s">
        <v>698</v>
      </c>
      <c r="C64" s="13"/>
      <c r="D64"/>
      <c r="J64" s="20" t="s">
        <v>0</v>
      </c>
      <c r="K64"/>
      <c r="L64" s="2" t="s">
        <v>317</v>
      </c>
      <c r="M64" s="13"/>
      <c r="N64" s="13"/>
      <c r="O64" s="24"/>
      <c r="Q64" s="30"/>
      <c r="R64" s="22"/>
      <c r="S64" s="13"/>
      <c r="T64" s="13"/>
      <c r="U64" s="13"/>
      <c r="V64" s="14"/>
      <c r="W64" s="14"/>
      <c r="X64" s="64"/>
      <c r="Y64" s="13"/>
      <c r="Z64" s="13"/>
      <c r="AA64" s="14"/>
      <c r="AB64" s="13"/>
      <c r="AC64" s="13"/>
      <c r="AD64" s="13"/>
      <c r="AE64" s="13"/>
      <c r="AF64" s="32"/>
      <c r="AJ64" s="20"/>
      <c r="AK64" s="20"/>
      <c r="AM64" s="20"/>
      <c r="AN64" s="20"/>
      <c r="AP64" s="4"/>
      <c r="BA64" s="62"/>
      <c r="BB64" s="13"/>
      <c r="BC64" s="22"/>
    </row>
    <row r="65" spans="2:56" ht="18" customHeight="1">
      <c r="C65" s="94" t="s">
        <v>699</v>
      </c>
      <c r="D65" s="23" t="s">
        <v>1</v>
      </c>
      <c r="E65"/>
      <c r="F65"/>
      <c r="H65" s="1302"/>
      <c r="I65" s="13"/>
      <c r="J65" s="153"/>
      <c r="K65" s="1303"/>
      <c r="L65"/>
      <c r="M65" s="4"/>
      <c r="N65"/>
      <c r="O65" s="740"/>
      <c r="P65" s="170"/>
      <c r="Q65" s="3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0"/>
      <c r="AG65" s="364"/>
      <c r="AH65" s="365"/>
      <c r="AI65" s="366"/>
      <c r="AJ65" s="367"/>
      <c r="AK65" s="42"/>
      <c r="AL65" s="42"/>
      <c r="AM65" s="42"/>
      <c r="AN65" s="42"/>
      <c r="AO65" s="42"/>
      <c r="AP65" s="42"/>
      <c r="AQ65" s="364"/>
      <c r="AR65" s="364"/>
      <c r="AS65" s="698"/>
      <c r="AT65" s="9"/>
      <c r="BA65" s="13"/>
      <c r="BB65" s="13"/>
      <c r="BC65" s="22"/>
    </row>
    <row r="66" spans="2:56" ht="12" customHeight="1" thickBot="1"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69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G66" s="49"/>
      <c r="AH66" s="49"/>
      <c r="AI66" s="49"/>
      <c r="AJ66" s="368"/>
      <c r="AK66" s="49"/>
      <c r="AL66" s="49"/>
      <c r="AM66" s="49"/>
      <c r="AN66" s="49"/>
      <c r="AO66" s="49"/>
      <c r="AP66" s="49"/>
      <c r="AQ66" s="49"/>
      <c r="AR66" s="49"/>
      <c r="AS66" s="49"/>
      <c r="BA66" s="4"/>
      <c r="BB66" s="4"/>
      <c r="BC66" s="9"/>
    </row>
    <row r="67" spans="2:56" ht="15.75" customHeight="1" thickBot="1">
      <c r="B67" s="1304" t="s">
        <v>700</v>
      </c>
      <c r="C67" s="99"/>
      <c r="D67" s="1305" t="s">
        <v>251</v>
      </c>
      <c r="E67" s="1306" t="s">
        <v>701</v>
      </c>
      <c r="F67" s="1307"/>
      <c r="G67" s="1307"/>
      <c r="H67" s="1308"/>
      <c r="I67" s="1512" t="s">
        <v>702</v>
      </c>
      <c r="J67" s="1513"/>
      <c r="K67" s="1514"/>
      <c r="L67" s="1513"/>
      <c r="M67" s="1513"/>
      <c r="N67" s="1513"/>
      <c r="O67" s="1513"/>
      <c r="P67" s="50"/>
      <c r="Q67" s="1304" t="s">
        <v>703</v>
      </c>
      <c r="R67" s="9"/>
      <c r="S67" s="94"/>
      <c r="T67" s="44"/>
      <c r="U67" s="44"/>
      <c r="V67" s="111"/>
      <c r="W67" s="383"/>
      <c r="X67" s="383"/>
      <c r="Y67" s="383"/>
      <c r="Z67" s="383"/>
      <c r="AA67" s="44"/>
      <c r="AB67" s="223"/>
      <c r="AC67" s="44"/>
      <c r="AD67" s="44"/>
      <c r="AE67" s="153"/>
      <c r="AF67" s="48"/>
      <c r="AG67" s="44"/>
      <c r="AH67" s="44"/>
      <c r="AI67" s="44"/>
      <c r="AJ67" s="111"/>
      <c r="AK67" s="44"/>
      <c r="AL67" s="44"/>
      <c r="AM67" s="44"/>
      <c r="AN67" s="44"/>
      <c r="AO67" s="44"/>
      <c r="AP67" s="44"/>
      <c r="AQ67" s="44"/>
      <c r="AR67" s="44"/>
      <c r="AS67" s="153"/>
      <c r="BA67" s="4"/>
      <c r="BB67" s="4"/>
      <c r="BC67" s="9"/>
    </row>
    <row r="68" spans="2:56" ht="21" customHeight="1">
      <c r="B68" s="535" t="s">
        <v>704</v>
      </c>
      <c r="C68" s="530" t="s">
        <v>257</v>
      </c>
      <c r="D68" s="1311" t="s">
        <v>258</v>
      </c>
      <c r="E68" s="1312" t="s">
        <v>705</v>
      </c>
      <c r="F68" s="1313" t="s">
        <v>706</v>
      </c>
      <c r="G68" s="787" t="s">
        <v>707</v>
      </c>
      <c r="H68" s="1314" t="s">
        <v>708</v>
      </c>
      <c r="I68" s="1315" t="s">
        <v>709</v>
      </c>
      <c r="J68" s="1316" t="s">
        <v>710</v>
      </c>
      <c r="K68" s="1317" t="s">
        <v>711</v>
      </c>
      <c r="L68" s="1318" t="s">
        <v>712</v>
      </c>
      <c r="M68" s="1319" t="s">
        <v>713</v>
      </c>
      <c r="N68" s="835" t="s">
        <v>714</v>
      </c>
      <c r="O68" s="1319" t="s">
        <v>715</v>
      </c>
      <c r="P68" s="1320" t="s">
        <v>716</v>
      </c>
      <c r="Q68" s="1321" t="s">
        <v>717</v>
      </c>
      <c r="R68" s="9"/>
      <c r="S68" s="788"/>
      <c r="T68" s="4"/>
      <c r="U68" s="9"/>
      <c r="V68" s="111"/>
      <c r="W68" s="44"/>
      <c r="X68" s="44"/>
      <c r="Y68" s="44"/>
      <c r="Z68" s="44"/>
      <c r="AA68" s="44"/>
      <c r="AB68" s="44"/>
      <c r="AC68" s="44"/>
      <c r="AD68" s="44"/>
      <c r="AE68" s="153"/>
      <c r="AF68" s="8"/>
      <c r="AG68" s="369"/>
      <c r="AH68" s="369"/>
      <c r="AI68" s="369"/>
      <c r="AJ68" s="370"/>
      <c r="AK68" s="369"/>
      <c r="AL68" s="369"/>
      <c r="AM68" s="371"/>
      <c r="AN68" s="369"/>
      <c r="AO68" s="371"/>
      <c r="AP68" s="371"/>
      <c r="AQ68" s="369"/>
      <c r="AR68" s="369"/>
      <c r="AS68" s="369"/>
      <c r="BA68" s="13"/>
      <c r="BB68" s="13"/>
      <c r="BC68" s="22"/>
    </row>
    <row r="69" spans="2:56" ht="13.5" customHeight="1" thickBot="1">
      <c r="B69" s="541" t="s">
        <v>718</v>
      </c>
      <c r="C69" s="579"/>
      <c r="D69" s="18"/>
      <c r="E69" s="568"/>
      <c r="F69" s="1322"/>
      <c r="G69" s="1127"/>
      <c r="H69" s="1322"/>
      <c r="I69" s="1323" t="s">
        <v>719</v>
      </c>
      <c r="J69" s="1324" t="s">
        <v>720</v>
      </c>
      <c r="K69" s="1325" t="s">
        <v>721</v>
      </c>
      <c r="L69" s="1326" t="s">
        <v>722</v>
      </c>
      <c r="M69" s="1325" t="s">
        <v>723</v>
      </c>
      <c r="N69" s="1327" t="s">
        <v>724</v>
      </c>
      <c r="O69" s="1328" t="s">
        <v>725</v>
      </c>
      <c r="P69" s="1329" t="s">
        <v>726</v>
      </c>
      <c r="Q69" s="1330" t="s">
        <v>490</v>
      </c>
      <c r="R69" s="66"/>
      <c r="S69" s="721"/>
      <c r="T69" s="4"/>
      <c r="U69" s="9"/>
      <c r="V69" s="111"/>
      <c r="W69" s="44"/>
      <c r="X69" s="44"/>
      <c r="Y69" s="152"/>
      <c r="Z69" s="44"/>
      <c r="AA69" s="44"/>
      <c r="AB69" s="44"/>
      <c r="AC69" s="44"/>
      <c r="AD69" s="44"/>
      <c r="AE69" s="153"/>
      <c r="AF69" s="30"/>
      <c r="AT69" s="8"/>
      <c r="AU69" s="9"/>
      <c r="BA69" s="13"/>
      <c r="BB69" s="13"/>
      <c r="BC69" s="22"/>
    </row>
    <row r="70" spans="2:56" ht="15.75">
      <c r="B70" s="2561"/>
      <c r="C70" s="774" t="s">
        <v>199</v>
      </c>
      <c r="D70" s="543"/>
      <c r="E70" s="1331"/>
      <c r="F70" s="545"/>
      <c r="G70" s="545"/>
      <c r="H70" s="1332"/>
      <c r="I70" s="1333"/>
      <c r="J70" s="1333"/>
      <c r="K70" s="1334"/>
      <c r="L70" s="1333"/>
      <c r="M70" s="1333"/>
      <c r="N70" s="1333"/>
      <c r="O70" s="1333"/>
      <c r="P70" s="1335"/>
      <c r="Q70" s="1336"/>
      <c r="R70" s="9"/>
      <c r="S70" s="721"/>
      <c r="T70" s="4"/>
      <c r="U70" s="9"/>
      <c r="V70" s="111"/>
      <c r="W70" s="44"/>
      <c r="X70" s="44"/>
      <c r="Y70" s="44"/>
      <c r="Z70" s="44"/>
      <c r="AA70" s="44"/>
      <c r="AB70" s="44"/>
      <c r="AC70" s="44"/>
      <c r="AD70" s="44"/>
      <c r="AE70" s="153"/>
      <c r="AF70" s="118"/>
      <c r="AP70" s="43"/>
      <c r="AR70" s="43"/>
      <c r="AU70" s="9"/>
      <c r="BA70" s="13"/>
      <c r="BB70" s="13"/>
      <c r="BC70" s="22"/>
    </row>
    <row r="71" spans="2:56">
      <c r="B71" s="2562" t="s">
        <v>842</v>
      </c>
      <c r="C71" s="556" t="s">
        <v>485</v>
      </c>
      <c r="D71" s="561">
        <v>210</v>
      </c>
      <c r="E71" s="2392">
        <v>2</v>
      </c>
      <c r="F71" s="380">
        <v>0.21</v>
      </c>
      <c r="G71" s="380">
        <v>0.32</v>
      </c>
      <c r="H71" s="1298">
        <v>165.9</v>
      </c>
      <c r="I71" s="1359">
        <v>224.5</v>
      </c>
      <c r="J71" s="1359">
        <v>141.6</v>
      </c>
      <c r="K71" s="1359">
        <v>16.93</v>
      </c>
      <c r="L71" s="1359">
        <v>1.5269999999999999</v>
      </c>
      <c r="M71" s="1359">
        <v>120.6</v>
      </c>
      <c r="N71" s="2401">
        <v>1.2E-2</v>
      </c>
      <c r="O71" s="1359">
        <v>0.01</v>
      </c>
      <c r="P71" s="2412">
        <v>0.62</v>
      </c>
      <c r="Q71" s="557">
        <v>26</v>
      </c>
      <c r="R71" s="9"/>
      <c r="S71" s="721"/>
      <c r="T71" s="4"/>
      <c r="U71" s="9"/>
      <c r="V71" s="44"/>
      <c r="W71" s="44"/>
      <c r="X71" s="222"/>
      <c r="Y71" s="789"/>
      <c r="AB71" s="44"/>
      <c r="AC71" s="44"/>
      <c r="AD71" s="44"/>
      <c r="AE71" s="153"/>
      <c r="AJ71" s="146"/>
      <c r="AR71" s="43"/>
      <c r="AU71" s="9"/>
      <c r="AV71" s="8"/>
      <c r="AW71" s="8"/>
    </row>
    <row r="72" spans="2:56">
      <c r="B72" s="2377" t="s">
        <v>10</v>
      </c>
      <c r="C72" s="556" t="s">
        <v>395</v>
      </c>
      <c r="D72" s="561">
        <v>45</v>
      </c>
      <c r="E72" s="2392">
        <v>0</v>
      </c>
      <c r="F72" s="380">
        <v>0</v>
      </c>
      <c r="G72" s="380">
        <v>0</v>
      </c>
      <c r="H72" s="1298">
        <v>0</v>
      </c>
      <c r="I72" s="1359">
        <v>0</v>
      </c>
      <c r="J72" s="1359">
        <v>0</v>
      </c>
      <c r="K72" s="380">
        <v>0</v>
      </c>
      <c r="L72" s="1359">
        <v>0</v>
      </c>
      <c r="M72" s="1359">
        <v>0</v>
      </c>
      <c r="N72" s="1359">
        <v>0</v>
      </c>
      <c r="O72" s="1359">
        <v>0</v>
      </c>
      <c r="P72" s="2393">
        <v>0</v>
      </c>
      <c r="Q72" s="557">
        <v>13</v>
      </c>
      <c r="R72" s="1"/>
      <c r="S72" s="721"/>
      <c r="T72" s="4"/>
      <c r="U72" s="9"/>
      <c r="V72" s="44"/>
      <c r="W72" s="44"/>
      <c r="X72" s="44"/>
      <c r="Y72" s="789"/>
      <c r="AB72" s="214"/>
      <c r="AC72" s="46"/>
      <c r="AD72" s="46"/>
      <c r="AE72" s="66"/>
      <c r="AG72" s="30"/>
      <c r="AH72" s="4"/>
      <c r="AI72" s="8"/>
      <c r="AJ72" s="9"/>
      <c r="AK72" s="9"/>
      <c r="AL72" s="9"/>
      <c r="AM72" s="113"/>
      <c r="AN72" s="148"/>
      <c r="AO72" s="151"/>
      <c r="AP72" s="151"/>
      <c r="AQ72" s="151"/>
      <c r="AR72" s="121"/>
      <c r="AS72" s="151"/>
      <c r="AT72" s="151"/>
      <c r="AU72" s="151"/>
      <c r="AV72" s="8"/>
      <c r="AW72" s="8"/>
    </row>
    <row r="73" spans="2:56" ht="15.75">
      <c r="B73" s="2377" t="s">
        <v>622</v>
      </c>
      <c r="C73" s="556" t="s">
        <v>16</v>
      </c>
      <c r="D73" s="561">
        <v>200</v>
      </c>
      <c r="E73" s="2392">
        <v>0.04</v>
      </c>
      <c r="F73" s="380">
        <v>0</v>
      </c>
      <c r="G73" s="380">
        <v>0.01</v>
      </c>
      <c r="H73" s="1298">
        <v>0.3</v>
      </c>
      <c r="I73" s="1359">
        <v>4.5</v>
      </c>
      <c r="J73" s="1359">
        <v>7.2</v>
      </c>
      <c r="K73" s="1359">
        <v>3.8</v>
      </c>
      <c r="L73" s="1359">
        <v>0.73</v>
      </c>
      <c r="M73" s="1359">
        <v>20.77</v>
      </c>
      <c r="N73" s="1359">
        <v>0</v>
      </c>
      <c r="O73" s="1359">
        <v>0</v>
      </c>
      <c r="P73" s="2393">
        <v>0</v>
      </c>
      <c r="Q73" s="572">
        <v>90</v>
      </c>
      <c r="S73" s="30"/>
      <c r="T73" s="4"/>
      <c r="U73" s="9"/>
      <c r="V73" s="44"/>
      <c r="W73" s="44"/>
      <c r="X73" s="44"/>
      <c r="Y73" s="789"/>
      <c r="AB73" s="1"/>
      <c r="AC73" s="1"/>
      <c r="AD73" s="1"/>
      <c r="AG73" s="39"/>
      <c r="AI73" s="40"/>
      <c r="AJ73" s="9"/>
      <c r="AK73" s="9"/>
      <c r="AL73" s="9"/>
      <c r="AM73" s="170"/>
      <c r="AN73" s="700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6">
      <c r="B74" s="2377" t="s">
        <v>10</v>
      </c>
      <c r="C74" s="556" t="s">
        <v>11</v>
      </c>
      <c r="D74" s="561">
        <v>40</v>
      </c>
      <c r="E74" s="2392">
        <v>0.08</v>
      </c>
      <c r="F74" s="380">
        <v>1.6E-2</v>
      </c>
      <c r="G74" s="380">
        <v>1.3299999999999999E-2</v>
      </c>
      <c r="H74" s="1298">
        <v>0</v>
      </c>
      <c r="I74" s="1359">
        <v>63.332999999999998</v>
      </c>
      <c r="J74" s="1359">
        <v>51.6</v>
      </c>
      <c r="K74" s="1359">
        <v>16.399999999999999</v>
      </c>
      <c r="L74" s="1359">
        <v>0.04</v>
      </c>
      <c r="M74" s="2498">
        <v>29.733000000000001</v>
      </c>
      <c r="N74" s="1359">
        <v>0</v>
      </c>
      <c r="O74" s="1359">
        <v>0</v>
      </c>
      <c r="P74" s="1359">
        <v>0</v>
      </c>
      <c r="Q74" s="557">
        <v>11</v>
      </c>
      <c r="R74" s="9"/>
      <c r="U74" s="169"/>
      <c r="V74" s="44"/>
      <c r="W74" s="44"/>
      <c r="X74" s="44"/>
      <c r="Y74" s="789"/>
      <c r="AB74" s="223"/>
      <c r="AC74" s="44"/>
      <c r="AD74" s="44"/>
      <c r="AE74" s="119"/>
      <c r="AH74" s="169"/>
      <c r="AJ74" s="9"/>
      <c r="AK74" s="9"/>
      <c r="AL74" s="9"/>
      <c r="AM74" s="32"/>
      <c r="AN74" s="22"/>
      <c r="AO74" s="22"/>
      <c r="AP74" s="13"/>
      <c r="AQ74" s="13"/>
      <c r="AR74" s="13"/>
      <c r="AS74" s="14"/>
      <c r="AT74" s="14"/>
      <c r="AU74" s="64"/>
      <c r="AV74" s="13"/>
      <c r="AW74" s="13"/>
      <c r="AX74" s="14"/>
      <c r="AY74" s="13"/>
      <c r="AZ74" s="13"/>
      <c r="BA74" s="13"/>
      <c r="BB74" s="13"/>
    </row>
    <row r="75" spans="2:56" ht="12.75" customHeight="1">
      <c r="B75" s="2377" t="s">
        <v>10</v>
      </c>
      <c r="C75" s="556" t="s">
        <v>792</v>
      </c>
      <c r="D75" s="551">
        <v>40</v>
      </c>
      <c r="E75" s="2402">
        <v>0</v>
      </c>
      <c r="F75" s="381">
        <v>0.08</v>
      </c>
      <c r="G75" s="381">
        <v>0</v>
      </c>
      <c r="H75" s="1298">
        <v>0</v>
      </c>
      <c r="I75" s="242">
        <v>33.200000000000003</v>
      </c>
      <c r="J75" s="242">
        <v>60.54</v>
      </c>
      <c r="K75" s="242">
        <v>19.68</v>
      </c>
      <c r="L75" s="242">
        <v>0.04</v>
      </c>
      <c r="M75" s="1359">
        <v>57.6</v>
      </c>
      <c r="N75" s="1359">
        <v>1E-3</v>
      </c>
      <c r="O75" s="1359">
        <v>0</v>
      </c>
      <c r="P75" s="2412">
        <v>0</v>
      </c>
      <c r="Q75" s="557">
        <v>12</v>
      </c>
      <c r="R75" s="9"/>
      <c r="T75" s="436"/>
      <c r="U75" s="2579"/>
      <c r="V75" s="44"/>
      <c r="W75" s="44"/>
      <c r="X75" s="44"/>
      <c r="Y75" s="789"/>
      <c r="AB75" s="147"/>
      <c r="AC75" s="153"/>
      <c r="AD75" s="701"/>
      <c r="AE75" s="153"/>
      <c r="AM75" s="3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6" ht="13.5" customHeight="1" thickBot="1">
      <c r="B76" s="2560" t="s">
        <v>1004</v>
      </c>
      <c r="C76" s="563" t="s">
        <v>1003</v>
      </c>
      <c r="D76" s="574">
        <v>105</v>
      </c>
      <c r="E76" s="242">
        <v>10.5</v>
      </c>
      <c r="F76" s="2556">
        <v>2.3099999999999999E-2</v>
      </c>
      <c r="G76" s="242">
        <v>2.1000000000000001E-2</v>
      </c>
      <c r="H76" s="2558">
        <v>5.25</v>
      </c>
      <c r="I76" s="2559">
        <v>16.8</v>
      </c>
      <c r="J76" s="242">
        <v>11.55</v>
      </c>
      <c r="K76" s="2557">
        <v>9.4499999999999993</v>
      </c>
      <c r="L76" s="1338">
        <v>2.0299999999999998</v>
      </c>
      <c r="M76" s="242">
        <v>55.55</v>
      </c>
      <c r="N76" s="242">
        <v>1.0500000000000001E-2</v>
      </c>
      <c r="O76" s="2557">
        <v>0</v>
      </c>
      <c r="P76" s="1337">
        <v>0.28399999999999997</v>
      </c>
      <c r="Q76" s="627">
        <v>73</v>
      </c>
      <c r="R76" s="66"/>
      <c r="T76" s="210"/>
      <c r="U76" s="44"/>
      <c r="V76" s="44"/>
      <c r="W76" s="152"/>
      <c r="X76" s="44"/>
      <c r="Y76" s="789"/>
      <c r="AB76" s="153"/>
      <c r="AC76" s="153"/>
      <c r="AD76" s="153"/>
      <c r="AE76" s="153"/>
      <c r="AL76" s="66"/>
      <c r="BC76" s="8"/>
    </row>
    <row r="77" spans="2:56" ht="13.5" customHeight="1">
      <c r="B77" s="565" t="s">
        <v>283</v>
      </c>
      <c r="D77" s="2302">
        <f>SUM(D71:D76)</f>
        <v>640</v>
      </c>
      <c r="E77" s="1339">
        <f t="shared" ref="E77:P77" si="0">SUM(E71:E76)</f>
        <v>12.620000000000001</v>
      </c>
      <c r="F77" s="1340">
        <f t="shared" si="0"/>
        <v>0.3291</v>
      </c>
      <c r="G77" s="1341">
        <f t="shared" si="0"/>
        <v>0.36430000000000001</v>
      </c>
      <c r="H77" s="2466">
        <f t="shared" si="0"/>
        <v>171.45000000000002</v>
      </c>
      <c r="I77" s="2476">
        <f t="shared" si="0"/>
        <v>342.33299999999997</v>
      </c>
      <c r="J77" s="2476">
        <f t="shared" si="0"/>
        <v>272.49</v>
      </c>
      <c r="K77" s="2477">
        <f t="shared" si="0"/>
        <v>66.259999999999991</v>
      </c>
      <c r="L77" s="2476">
        <f>SUM(L71:L76)</f>
        <v>4.3669999999999991</v>
      </c>
      <c r="M77" s="2476">
        <f t="shared" si="0"/>
        <v>284.25299999999999</v>
      </c>
      <c r="N77" s="2476">
        <f t="shared" si="0"/>
        <v>2.35E-2</v>
      </c>
      <c r="O77" s="2476">
        <f t="shared" si="0"/>
        <v>0.01</v>
      </c>
      <c r="P77" s="2420">
        <f t="shared" si="0"/>
        <v>0.90399999999999991</v>
      </c>
      <c r="Q77" s="1321"/>
      <c r="R77" s="66"/>
      <c r="T77" s="169"/>
      <c r="V77" s="702"/>
      <c r="W77" s="792"/>
      <c r="X77" s="793"/>
      <c r="Y77" s="2310"/>
      <c r="Z77" s="210"/>
      <c r="AB77" s="223"/>
      <c r="AC77" s="44"/>
      <c r="AD77" s="44"/>
      <c r="AE77" s="119"/>
      <c r="AL77" s="46"/>
    </row>
    <row r="78" spans="2:56">
      <c r="B78" s="1343"/>
      <c r="C78" s="1344" t="s">
        <v>12</v>
      </c>
      <c r="D78" s="2291">
        <v>0.25</v>
      </c>
      <c r="E78" s="1398">
        <v>17.5</v>
      </c>
      <c r="F78" s="2413">
        <v>0.35</v>
      </c>
      <c r="G78" s="1399">
        <v>0.4</v>
      </c>
      <c r="H78" s="1345">
        <v>225</v>
      </c>
      <c r="I78" s="2413">
        <v>300</v>
      </c>
      <c r="J78" s="1399">
        <v>300</v>
      </c>
      <c r="K78" s="1345">
        <v>75</v>
      </c>
      <c r="L78" s="2413">
        <v>4.5</v>
      </c>
      <c r="M78" s="1346">
        <v>300</v>
      </c>
      <c r="N78" s="2413">
        <v>2.5000000000000001E-2</v>
      </c>
      <c r="O78" s="1399">
        <v>1.2500000000000001E-2</v>
      </c>
      <c r="P78" s="1366">
        <v>1</v>
      </c>
      <c r="Q78" s="1321"/>
      <c r="R78" s="9"/>
      <c r="S78" s="733"/>
      <c r="T78" s="4"/>
      <c r="U78" s="9"/>
      <c r="V78" s="1289"/>
      <c r="W78" s="1289"/>
      <c r="X78" s="1289"/>
      <c r="Y78" s="1289"/>
      <c r="Z78" s="1029"/>
      <c r="AB78" s="152"/>
      <c r="AC78" s="152"/>
      <c r="AD78" s="152"/>
      <c r="AE78" s="153"/>
      <c r="AJ78" s="1"/>
      <c r="AK78" s="1"/>
      <c r="AL78" s="1"/>
    </row>
    <row r="79" spans="2:56" ht="13.5" customHeight="1" thickBot="1">
      <c r="B79" s="237"/>
      <c r="C79" s="1347" t="s">
        <v>939</v>
      </c>
      <c r="D79" s="1348" t="s">
        <v>280</v>
      </c>
      <c r="E79" s="2265">
        <f t="shared" ref="E79:P79" si="1">(E77*100/E99)-25</f>
        <v>-6.9714285714285715</v>
      </c>
      <c r="F79" s="2266">
        <f t="shared" si="1"/>
        <v>-1.4928571428571402</v>
      </c>
      <c r="G79" s="2266">
        <f t="shared" si="1"/>
        <v>-2.2312500000000028</v>
      </c>
      <c r="H79" s="2266">
        <f t="shared" si="1"/>
        <v>-5.9499999999999993</v>
      </c>
      <c r="I79" s="2266">
        <f t="shared" si="1"/>
        <v>3.5277499999999975</v>
      </c>
      <c r="J79" s="2266">
        <f t="shared" si="1"/>
        <v>-2.2925000000000004</v>
      </c>
      <c r="K79" s="2266">
        <f t="shared" si="1"/>
        <v>-2.9133333333333375</v>
      </c>
      <c r="L79" s="2266">
        <f t="shared" si="1"/>
        <v>-0.73888888888889426</v>
      </c>
      <c r="M79" s="2266">
        <f t="shared" si="1"/>
        <v>-1.3122500000000024</v>
      </c>
      <c r="N79" s="2266">
        <f t="shared" si="1"/>
        <v>-1.5</v>
      </c>
      <c r="O79" s="2266">
        <f t="shared" si="1"/>
        <v>-5</v>
      </c>
      <c r="P79" s="2267">
        <f t="shared" si="1"/>
        <v>-2.4000000000000021</v>
      </c>
      <c r="Q79" s="1321"/>
      <c r="R79" s="9"/>
      <c r="S79" s="788"/>
      <c r="T79" s="4"/>
      <c r="U79" s="66"/>
      <c r="V79" s="1"/>
      <c r="W79" s="1"/>
      <c r="X79" s="1"/>
      <c r="Y79" s="1"/>
      <c r="Z79" s="1"/>
      <c r="BC79" s="19"/>
      <c r="BD79" s="22"/>
    </row>
    <row r="80" spans="2:56" ht="16.5" customHeight="1">
      <c r="B80" s="99"/>
      <c r="C80" s="163" t="s">
        <v>152</v>
      </c>
      <c r="D80" s="99"/>
      <c r="E80" s="2478"/>
      <c r="F80" s="2479"/>
      <c r="G80" s="2479"/>
      <c r="H80" s="2477"/>
      <c r="I80" s="2477"/>
      <c r="J80" s="2477"/>
      <c r="K80" s="2477"/>
      <c r="L80" s="2477"/>
      <c r="M80" s="2477"/>
      <c r="N80" s="2477"/>
      <c r="O80" s="2477"/>
      <c r="P80" s="2480"/>
      <c r="Q80" s="1321"/>
      <c r="R80" s="9"/>
      <c r="S80" s="721"/>
      <c r="T80" s="4"/>
      <c r="U80" s="9"/>
      <c r="V80" s="44"/>
      <c r="W80" s="44"/>
      <c r="X80" s="44"/>
      <c r="Y80" s="789"/>
      <c r="AM80" s="32"/>
      <c r="AN80" s="382"/>
      <c r="AO80" s="9"/>
      <c r="AP80" s="153"/>
      <c r="AQ80" s="430"/>
      <c r="AR80" s="153"/>
      <c r="AS80" s="111"/>
      <c r="AT80" s="153"/>
      <c r="AU80" s="383"/>
      <c r="AV80" s="147"/>
      <c r="AW80" s="430"/>
      <c r="AX80" s="153"/>
      <c r="AY80" s="147"/>
      <c r="AZ80" s="153"/>
      <c r="BA80" s="153"/>
      <c r="BB80" s="153"/>
      <c r="BC80" s="13"/>
      <c r="BD80" s="22"/>
    </row>
    <row r="81" spans="2:56">
      <c r="B81" s="2293" t="s">
        <v>687</v>
      </c>
      <c r="C81" s="582" t="s">
        <v>363</v>
      </c>
      <c r="D81" s="561">
        <v>60</v>
      </c>
      <c r="E81" s="1359">
        <v>6</v>
      </c>
      <c r="F81" s="1359">
        <v>0.02</v>
      </c>
      <c r="G81" s="2393">
        <v>0.02</v>
      </c>
      <c r="H81" s="1359">
        <v>6</v>
      </c>
      <c r="I81" s="2396">
        <v>13.8</v>
      </c>
      <c r="J81" s="2397">
        <v>25</v>
      </c>
      <c r="K81" s="2397">
        <v>8.4</v>
      </c>
      <c r="L81" s="2397">
        <v>0.36</v>
      </c>
      <c r="M81" s="2397">
        <v>56.7</v>
      </c>
      <c r="N81" s="2397">
        <v>1.8E-3</v>
      </c>
      <c r="O81" s="2397">
        <v>2.0000000000000001E-4</v>
      </c>
      <c r="P81" s="2397">
        <v>1.0200000000000001E-2</v>
      </c>
      <c r="Q81" s="557">
        <v>1</v>
      </c>
      <c r="R81" s="9"/>
      <c r="S81" s="788"/>
      <c r="T81" s="116"/>
      <c r="U81" s="66"/>
      <c r="V81" s="44"/>
      <c r="W81" s="44"/>
      <c r="X81" s="44"/>
      <c r="Y81" s="789"/>
      <c r="AH81" s="40"/>
      <c r="AM81" s="32"/>
      <c r="AN81" s="4"/>
      <c r="AO81" s="9"/>
      <c r="AP81" s="44"/>
      <c r="AQ81" s="44"/>
      <c r="AR81" s="152"/>
      <c r="AS81" s="111"/>
      <c r="AT81" s="44"/>
      <c r="AU81" s="153"/>
      <c r="AV81" s="153"/>
      <c r="AW81" s="153"/>
      <c r="AX81" s="153"/>
      <c r="AY81" s="153"/>
      <c r="AZ81" s="153"/>
      <c r="BA81" s="153"/>
      <c r="BB81" s="153"/>
      <c r="BC81" s="13"/>
      <c r="BD81" s="22"/>
    </row>
    <row r="82" spans="2:56">
      <c r="B82" s="2290" t="s">
        <v>946</v>
      </c>
      <c r="C82" s="591" t="s">
        <v>284</v>
      </c>
      <c r="D82" s="583">
        <v>250</v>
      </c>
      <c r="E82" s="2392">
        <v>8.125</v>
      </c>
      <c r="F82" s="380">
        <v>3.5299999999999998E-2</v>
      </c>
      <c r="G82" s="380">
        <v>7.46E-2</v>
      </c>
      <c r="H82" s="1298">
        <v>143</v>
      </c>
      <c r="I82" s="1359">
        <v>33.81</v>
      </c>
      <c r="J82" s="1359">
        <v>51.6</v>
      </c>
      <c r="K82" s="380">
        <v>20.777000000000001</v>
      </c>
      <c r="L82" s="1359">
        <v>1.895</v>
      </c>
      <c r="M82" s="1359">
        <v>23.725000000000001</v>
      </c>
      <c r="N82" s="1359">
        <v>0</v>
      </c>
      <c r="O82" s="1359">
        <v>0</v>
      </c>
      <c r="P82" s="2393">
        <v>0</v>
      </c>
      <c r="Q82" s="557">
        <v>14</v>
      </c>
      <c r="R82" s="1"/>
      <c r="S82" s="788"/>
      <c r="T82" s="4"/>
      <c r="U82" s="9"/>
      <c r="V82" s="153"/>
      <c r="W82" s="430"/>
      <c r="X82" s="153"/>
      <c r="Y82" s="789"/>
      <c r="AH82" s="40"/>
      <c r="AL82" s="8"/>
      <c r="AM82" s="32"/>
      <c r="AN82" s="4"/>
      <c r="BC82" s="4"/>
      <c r="BD82" s="22"/>
    </row>
    <row r="83" spans="2:56">
      <c r="B83" s="2294" t="s">
        <v>626</v>
      </c>
      <c r="C83" s="597" t="s">
        <v>355</v>
      </c>
      <c r="D83" s="551">
        <v>200</v>
      </c>
      <c r="E83" s="1276">
        <v>2.68</v>
      </c>
      <c r="F83" s="1294">
        <v>0.09</v>
      </c>
      <c r="G83" s="2400">
        <v>0.04</v>
      </c>
      <c r="H83" s="1298">
        <v>390.92</v>
      </c>
      <c r="I83" s="1359">
        <v>25.7</v>
      </c>
      <c r="J83" s="1359">
        <v>67.7</v>
      </c>
      <c r="K83" s="1359">
        <v>23.7</v>
      </c>
      <c r="L83" s="1359">
        <v>1.19</v>
      </c>
      <c r="M83" s="1359">
        <v>0</v>
      </c>
      <c r="N83" s="1359">
        <v>0</v>
      </c>
      <c r="O83" s="2401">
        <v>0</v>
      </c>
      <c r="P83" s="2393">
        <v>0</v>
      </c>
      <c r="Q83" s="589">
        <v>31</v>
      </c>
      <c r="R83" s="8"/>
      <c r="S83" s="721"/>
      <c r="T83" s="4"/>
      <c r="U83" s="9"/>
      <c r="V83" s="44"/>
      <c r="W83" s="44"/>
      <c r="X83" s="44"/>
      <c r="Y83" s="789"/>
      <c r="AG83" s="63"/>
      <c r="AH83" s="169"/>
      <c r="AM83" s="32"/>
      <c r="AN83" s="4"/>
      <c r="AO83" s="9"/>
      <c r="AP83" s="44"/>
      <c r="AQ83" s="44"/>
      <c r="AR83" s="44"/>
      <c r="AS83" s="111"/>
      <c r="AT83" s="44"/>
      <c r="AU83" s="44"/>
      <c r="AV83" s="44"/>
      <c r="AW83" s="44"/>
      <c r="AX83" s="44"/>
      <c r="AY83" s="44"/>
      <c r="AZ83" s="44"/>
      <c r="BA83" s="44"/>
      <c r="BB83" s="153"/>
      <c r="BC83" s="13"/>
      <c r="BD83" s="22"/>
    </row>
    <row r="84" spans="2:56" ht="17.25" customHeight="1">
      <c r="B84" s="2290" t="s">
        <v>343</v>
      </c>
      <c r="C84" s="599" t="s">
        <v>344</v>
      </c>
      <c r="D84" s="583" t="s">
        <v>944</v>
      </c>
      <c r="E84" s="2392">
        <v>4.8550000000000004</v>
      </c>
      <c r="F84" s="380">
        <v>0.219</v>
      </c>
      <c r="G84" s="380">
        <v>0.14000000000000001</v>
      </c>
      <c r="H84" s="1298">
        <v>38.65</v>
      </c>
      <c r="I84" s="1359">
        <v>33.159999999999997</v>
      </c>
      <c r="J84" s="1359">
        <v>28.12</v>
      </c>
      <c r="K84" s="1359">
        <v>11.22</v>
      </c>
      <c r="L84" s="1359">
        <v>2.0760000000000001</v>
      </c>
      <c r="M84" s="1359">
        <v>92.265000000000001</v>
      </c>
      <c r="N84" s="2401">
        <v>0</v>
      </c>
      <c r="O84" s="1359">
        <v>1.6E-2</v>
      </c>
      <c r="P84" s="2393">
        <v>1.3280000000000001</v>
      </c>
      <c r="Q84" s="557">
        <v>63</v>
      </c>
      <c r="S84" s="721"/>
      <c r="T84" s="4"/>
      <c r="U84" s="9"/>
      <c r="V84" s="44"/>
      <c r="W84" s="44"/>
      <c r="X84" s="44"/>
      <c r="Y84" s="789"/>
      <c r="AG84" s="63"/>
      <c r="AH84" s="4"/>
      <c r="AI84" s="150"/>
      <c r="AM84" s="32"/>
      <c r="AN84" s="4"/>
      <c r="AO84" s="9"/>
      <c r="AP84" s="44"/>
      <c r="AQ84" s="44"/>
      <c r="AR84" s="44"/>
      <c r="AS84" s="111"/>
      <c r="AT84" s="44"/>
      <c r="AU84" s="44"/>
      <c r="AV84" s="44"/>
      <c r="AW84" s="44"/>
      <c r="AX84" s="44"/>
      <c r="AY84" s="44"/>
      <c r="AZ84" s="44"/>
      <c r="BA84" s="44"/>
      <c r="BB84" s="153"/>
      <c r="BC84" s="13"/>
      <c r="BD84" s="22"/>
    </row>
    <row r="85" spans="2:56" ht="16.5" customHeight="1">
      <c r="B85" s="2290" t="s">
        <v>1020</v>
      </c>
      <c r="C85" s="756" t="s">
        <v>1018</v>
      </c>
      <c r="D85" s="561">
        <v>200</v>
      </c>
      <c r="E85" s="2392">
        <v>1.1193</v>
      </c>
      <c r="F85" s="380">
        <v>6.5000000000000002E-2</v>
      </c>
      <c r="G85" s="380">
        <v>0.26300000000000001</v>
      </c>
      <c r="H85" s="1298">
        <v>28.459</v>
      </c>
      <c r="I85" s="1359">
        <v>231.47399999999999</v>
      </c>
      <c r="J85" s="1359">
        <v>183.12</v>
      </c>
      <c r="K85" s="380">
        <v>35.549999999999997</v>
      </c>
      <c r="L85" s="1359">
        <v>0.78400000000000003</v>
      </c>
      <c r="M85" s="1359">
        <v>134.791</v>
      </c>
      <c r="N85" s="1359">
        <v>1E-3</v>
      </c>
      <c r="O85" s="1359">
        <v>2.3E-3</v>
      </c>
      <c r="P85" s="2393">
        <v>6.9000000000000006E-2</v>
      </c>
      <c r="Q85" s="580">
        <v>84</v>
      </c>
      <c r="R85" s="1"/>
      <c r="T85" s="433"/>
      <c r="U85" s="169"/>
      <c r="V85" s="44"/>
      <c r="W85" s="44"/>
      <c r="X85" s="44"/>
      <c r="Y85" s="789"/>
      <c r="AG85" s="377"/>
      <c r="AH85" s="4"/>
      <c r="AI85" s="9"/>
      <c r="AL85" s="22"/>
      <c r="AN85" s="169"/>
      <c r="AP85" s="44"/>
      <c r="AQ85" s="44"/>
      <c r="AR85" s="44"/>
      <c r="AS85" s="111"/>
      <c r="AT85" s="44"/>
      <c r="AU85" s="44"/>
      <c r="AV85" s="44"/>
      <c r="AW85" s="44"/>
      <c r="AX85" s="44"/>
      <c r="AY85" s="44"/>
      <c r="AZ85" s="44"/>
      <c r="BA85" s="44"/>
      <c r="BB85" s="153"/>
      <c r="BC85" s="13"/>
      <c r="BD85" s="22"/>
    </row>
    <row r="86" spans="2:56" ht="15" customHeight="1">
      <c r="B86" s="1473" t="s">
        <v>10</v>
      </c>
      <c r="C86" s="582" t="s">
        <v>11</v>
      </c>
      <c r="D86" s="561">
        <v>70</v>
      </c>
      <c r="E86" s="2392">
        <v>0.14000000000000001</v>
      </c>
      <c r="F86" s="380">
        <v>2.5000000000000001E-2</v>
      </c>
      <c r="G86" s="380">
        <v>2.3E-2</v>
      </c>
      <c r="H86" s="1298">
        <v>0</v>
      </c>
      <c r="I86" s="2498">
        <v>110.01300000000001</v>
      </c>
      <c r="J86" s="1359">
        <v>90.3</v>
      </c>
      <c r="K86" s="1359">
        <v>28.7</v>
      </c>
      <c r="L86" s="2393">
        <v>7.0000000000000007E-2</v>
      </c>
      <c r="M86" s="2469">
        <v>52.03</v>
      </c>
      <c r="N86" s="1359">
        <v>0</v>
      </c>
      <c r="O86" s="1359">
        <v>0</v>
      </c>
      <c r="P86" s="1359">
        <v>0</v>
      </c>
      <c r="Q86" s="557">
        <v>11</v>
      </c>
      <c r="R86" s="1"/>
      <c r="T86" s="436"/>
      <c r="U86" s="2579"/>
      <c r="V86" s="44"/>
      <c r="W86" s="44"/>
      <c r="X86" s="44"/>
      <c r="Y86" s="789"/>
      <c r="AG86" s="45"/>
      <c r="AH86" s="4"/>
      <c r="AI86" s="9"/>
      <c r="AJ86" s="8"/>
      <c r="AK86" s="8"/>
      <c r="AL86" s="8"/>
      <c r="AM86" s="45"/>
      <c r="AN86" s="4"/>
      <c r="AO86" s="9"/>
      <c r="AP86" s="44"/>
      <c r="AQ86" s="44"/>
      <c r="AR86" s="44"/>
      <c r="AS86" s="111"/>
      <c r="AT86" s="44"/>
      <c r="AU86" s="44"/>
      <c r="AV86" s="152"/>
      <c r="AW86" s="44"/>
      <c r="AX86" s="44"/>
      <c r="AY86" s="44"/>
      <c r="AZ86" s="44"/>
      <c r="BA86" s="44"/>
      <c r="BB86" s="153"/>
      <c r="BC86" s="13"/>
      <c r="BD86" s="22"/>
    </row>
    <row r="87" spans="2:56" ht="13.5" customHeight="1" thickBot="1">
      <c r="B87" s="2296" t="s">
        <v>10</v>
      </c>
      <c r="C87" s="585" t="s">
        <v>792</v>
      </c>
      <c r="D87" s="574">
        <v>40</v>
      </c>
      <c r="E87" s="2402">
        <v>0</v>
      </c>
      <c r="F87" s="381">
        <v>0.08</v>
      </c>
      <c r="G87" s="381">
        <v>0</v>
      </c>
      <c r="H87" s="1298">
        <v>0</v>
      </c>
      <c r="I87" s="242">
        <v>33.200000000000003</v>
      </c>
      <c r="J87" s="242">
        <v>60.54</v>
      </c>
      <c r="K87" s="242">
        <v>19.68</v>
      </c>
      <c r="L87" s="242">
        <v>0.04</v>
      </c>
      <c r="M87" s="1359">
        <v>57.6</v>
      </c>
      <c r="N87" s="1359">
        <v>1E-3</v>
      </c>
      <c r="O87" s="1359">
        <v>0</v>
      </c>
      <c r="P87" s="2412">
        <v>0</v>
      </c>
      <c r="Q87" s="748">
        <v>12</v>
      </c>
      <c r="R87" s="1"/>
      <c r="T87" s="210"/>
      <c r="U87" s="44"/>
      <c r="V87" s="702"/>
      <c r="W87" s="792"/>
      <c r="X87" s="793"/>
      <c r="Y87" s="2310"/>
      <c r="Z87" s="210"/>
      <c r="AJ87" s="8"/>
      <c r="AK87" s="8"/>
      <c r="AL87" s="8"/>
      <c r="AM87" s="55"/>
      <c r="AN87" s="46"/>
      <c r="AO87" s="66"/>
      <c r="AP87" s="44"/>
      <c r="AQ87" s="44"/>
      <c r="AR87" s="44"/>
      <c r="AS87" s="111"/>
      <c r="AT87" s="44"/>
      <c r="AU87" s="44"/>
      <c r="AV87" s="152"/>
      <c r="AW87" s="44"/>
      <c r="AX87" s="44"/>
      <c r="AY87" s="44"/>
      <c r="AZ87" s="44"/>
      <c r="BA87" s="44"/>
      <c r="BB87" s="153"/>
      <c r="BC87" s="13"/>
      <c r="BD87" s="22"/>
    </row>
    <row r="88" spans="2:56" ht="12.75" customHeight="1">
      <c r="B88" s="565" t="s">
        <v>269</v>
      </c>
      <c r="C88" s="433"/>
      <c r="D88" s="577">
        <f>D81+D82+D83+D85+D86+D87+60+60</f>
        <v>940</v>
      </c>
      <c r="E88" s="575">
        <f t="shared" ref="E88:P88" si="2">SUM(E81:E87)</f>
        <v>22.9193</v>
      </c>
      <c r="F88" s="1353">
        <f t="shared" si="2"/>
        <v>0.5343</v>
      </c>
      <c r="G88" s="1353">
        <f t="shared" si="2"/>
        <v>0.5606000000000001</v>
      </c>
      <c r="H88" s="1353">
        <f t="shared" si="2"/>
        <v>607.029</v>
      </c>
      <c r="I88" s="2481">
        <f t="shared" si="2"/>
        <v>481.15699999999998</v>
      </c>
      <c r="J88" s="2481">
        <f t="shared" si="2"/>
        <v>506.38000000000005</v>
      </c>
      <c r="K88" s="2482">
        <f t="shared" si="2"/>
        <v>148.02699999999999</v>
      </c>
      <c r="L88" s="2481">
        <f t="shared" si="2"/>
        <v>6.415</v>
      </c>
      <c r="M88" s="2483">
        <f t="shared" si="2"/>
        <v>417.11099999999999</v>
      </c>
      <c r="N88" s="2483">
        <f>SUM(N81:N87)</f>
        <v>3.8E-3</v>
      </c>
      <c r="O88" s="2483">
        <f t="shared" si="2"/>
        <v>1.8499999999999999E-2</v>
      </c>
      <c r="P88" s="2484">
        <f t="shared" si="2"/>
        <v>1.4072</v>
      </c>
      <c r="Q88" s="1336"/>
      <c r="R88" s="22"/>
      <c r="S88" s="1"/>
      <c r="T88" s="169"/>
      <c r="V88" s="1289"/>
      <c r="W88" s="1289"/>
      <c r="X88" s="1289"/>
      <c r="Y88" s="1289"/>
      <c r="Z88" s="1029"/>
      <c r="AJ88" s="9"/>
      <c r="AK88" s="9"/>
      <c r="AL88" s="9"/>
      <c r="AM88" s="33"/>
      <c r="AN88" s="4"/>
      <c r="AO88" s="9"/>
      <c r="AP88" s="44"/>
      <c r="AQ88" s="152"/>
      <c r="AR88" s="44"/>
      <c r="AS88" s="111"/>
      <c r="AT88" s="44"/>
      <c r="AU88" s="44"/>
      <c r="AV88" s="44"/>
      <c r="AW88" s="44"/>
      <c r="AX88" s="44"/>
      <c r="AY88" s="44"/>
      <c r="AZ88" s="223"/>
      <c r="BA88" s="44"/>
      <c r="BB88" s="153"/>
      <c r="BC88" s="13"/>
      <c r="BD88" s="22"/>
    </row>
    <row r="89" spans="2:56" ht="16.5" customHeight="1">
      <c r="B89" s="1343"/>
      <c r="C89" s="1344" t="s">
        <v>12</v>
      </c>
      <c r="D89" s="2295">
        <v>0.35</v>
      </c>
      <c r="E89" s="1355">
        <v>24.5</v>
      </c>
      <c r="F89" s="1365">
        <v>0.49</v>
      </c>
      <c r="G89" s="1364">
        <v>0.56000000000000005</v>
      </c>
      <c r="H89" s="1363">
        <v>315</v>
      </c>
      <c r="I89" s="1365">
        <v>420</v>
      </c>
      <c r="J89" s="1364">
        <v>420</v>
      </c>
      <c r="K89" s="1363">
        <v>105</v>
      </c>
      <c r="L89" s="1365">
        <v>6.3</v>
      </c>
      <c r="M89" s="1369">
        <v>420</v>
      </c>
      <c r="N89" s="1365">
        <v>3.5000000000000003E-2</v>
      </c>
      <c r="O89" s="1364">
        <v>1.7500000000000002E-2</v>
      </c>
      <c r="P89" s="1366">
        <v>1.4</v>
      </c>
      <c r="Q89" s="1321"/>
      <c r="R89" s="22"/>
      <c r="S89" s="2588"/>
      <c r="T89" s="4"/>
      <c r="U89" s="9"/>
      <c r="V89" s="1"/>
      <c r="W89" s="1"/>
      <c r="X89" s="1"/>
      <c r="Y89" s="1"/>
      <c r="Z89" s="1"/>
      <c r="AJ89" s="8"/>
      <c r="AK89" s="8"/>
      <c r="AL89" s="8"/>
      <c r="BC89" s="13"/>
      <c r="BD89" s="22"/>
    </row>
    <row r="90" spans="2:56" ht="16.5" customHeight="1" thickBot="1">
      <c r="B90" s="237"/>
      <c r="C90" s="1347" t="s">
        <v>939</v>
      </c>
      <c r="D90" s="1356" t="s">
        <v>280</v>
      </c>
      <c r="E90" s="2265">
        <f t="shared" ref="E90:P90" si="3">(E88*100/E99)-35</f>
        <v>-2.2581428571428575</v>
      </c>
      <c r="F90" s="2266">
        <f t="shared" si="3"/>
        <v>3.1642857142857181</v>
      </c>
      <c r="G90" s="2266">
        <f t="shared" si="3"/>
        <v>3.7500000000001421E-2</v>
      </c>
      <c r="H90" s="2266">
        <f t="shared" si="3"/>
        <v>32.447666666666663</v>
      </c>
      <c r="I90" s="2266">
        <f t="shared" si="3"/>
        <v>5.0964166666666628</v>
      </c>
      <c r="J90" s="2266">
        <f t="shared" si="3"/>
        <v>7.1983333333333377</v>
      </c>
      <c r="K90" s="2266">
        <f t="shared" si="3"/>
        <v>14.342333333333329</v>
      </c>
      <c r="L90" s="2266">
        <f t="shared" si="3"/>
        <v>0.63888888888888573</v>
      </c>
      <c r="M90" s="2266">
        <f t="shared" si="3"/>
        <v>-0.24074999999999847</v>
      </c>
      <c r="N90" s="2266">
        <f t="shared" si="3"/>
        <v>-31.2</v>
      </c>
      <c r="O90" s="2266">
        <f t="shared" si="3"/>
        <v>1.9999999999999929</v>
      </c>
      <c r="P90" s="2267">
        <f t="shared" si="3"/>
        <v>0.17999999999999972</v>
      </c>
      <c r="Q90" s="1321"/>
      <c r="S90" s="1396"/>
      <c r="T90" s="4"/>
      <c r="U90" s="9"/>
      <c r="V90" s="44"/>
      <c r="W90" s="44"/>
      <c r="X90" s="44"/>
      <c r="Y90" s="789"/>
      <c r="AB90" s="1"/>
      <c r="AC90" s="1"/>
      <c r="AD90" s="1"/>
      <c r="AJ90" s="8"/>
      <c r="AK90" s="8"/>
      <c r="AL90" s="8"/>
      <c r="BD90" s="22"/>
    </row>
    <row r="91" spans="2:56" ht="16.5" customHeight="1">
      <c r="B91" s="600"/>
      <c r="C91" s="162" t="s">
        <v>324</v>
      </c>
      <c r="D91" s="99"/>
      <c r="E91" s="1471"/>
      <c r="F91" s="2418"/>
      <c r="G91" s="2418"/>
      <c r="H91" s="2419"/>
      <c r="I91" s="2419"/>
      <c r="J91" s="2419"/>
      <c r="K91" s="2419"/>
      <c r="L91" s="2419"/>
      <c r="M91" s="2419"/>
      <c r="N91" s="2419"/>
      <c r="O91" s="2419"/>
      <c r="P91" s="2420"/>
      <c r="Q91" s="1321"/>
      <c r="R91" s="9"/>
      <c r="S91" s="30"/>
      <c r="T91" s="4"/>
      <c r="U91" s="9"/>
      <c r="V91" s="44"/>
      <c r="W91" s="44"/>
      <c r="X91" s="44"/>
      <c r="Y91" s="789"/>
      <c r="AB91" s="223"/>
      <c r="AC91" s="44"/>
      <c r="AD91" s="44"/>
      <c r="AE91" s="153"/>
      <c r="AF91" s="30"/>
      <c r="AJ91" s="8"/>
      <c r="AK91" s="8"/>
      <c r="AL91" s="8"/>
      <c r="AM91" s="8"/>
      <c r="AN91" s="8"/>
      <c r="AO91" s="8"/>
      <c r="AP91" s="8"/>
      <c r="AQ91" s="8"/>
      <c r="AR91" s="8"/>
      <c r="AS91" s="8"/>
      <c r="AX91" s="8"/>
      <c r="AY91" s="8"/>
      <c r="BB91" s="13"/>
      <c r="BC91" s="13"/>
      <c r="BD91" s="22"/>
    </row>
    <row r="92" spans="2:56" ht="17.25" customHeight="1">
      <c r="B92" s="2377" t="s">
        <v>622</v>
      </c>
      <c r="C92" s="556" t="s">
        <v>16</v>
      </c>
      <c r="D92" s="561">
        <v>200</v>
      </c>
      <c r="E92" s="2392">
        <v>0.04</v>
      </c>
      <c r="F92" s="380">
        <v>0</v>
      </c>
      <c r="G92" s="380">
        <v>0.01</v>
      </c>
      <c r="H92" s="1298">
        <v>0.3</v>
      </c>
      <c r="I92" s="1359">
        <v>4.5</v>
      </c>
      <c r="J92" s="1359">
        <v>7.2</v>
      </c>
      <c r="K92" s="1359">
        <v>3.8</v>
      </c>
      <c r="L92" s="1359">
        <v>0.73</v>
      </c>
      <c r="M92" s="1359">
        <v>20.77</v>
      </c>
      <c r="N92" s="1359">
        <v>0</v>
      </c>
      <c r="O92" s="1359">
        <v>0</v>
      </c>
      <c r="P92" s="2393">
        <v>0</v>
      </c>
      <c r="Q92" s="572">
        <v>90</v>
      </c>
      <c r="R92" s="66"/>
      <c r="T92" s="433"/>
      <c r="U92" s="169"/>
      <c r="V92" s="44"/>
      <c r="W92" s="44"/>
      <c r="X92" s="44"/>
      <c r="Y92" s="789"/>
      <c r="AB92" s="147"/>
      <c r="AC92" s="153"/>
      <c r="AD92" s="701"/>
      <c r="AE92" s="153"/>
      <c r="AF92" s="32"/>
      <c r="AG92" s="63"/>
      <c r="AH92" s="46"/>
      <c r="AI92" s="3"/>
      <c r="AJ92" s="111"/>
      <c r="AK92" s="44"/>
      <c r="AL92" s="44"/>
      <c r="AM92" s="44"/>
      <c r="AN92" s="44"/>
      <c r="AO92" s="44"/>
      <c r="AP92" s="44"/>
      <c r="AQ92" s="44"/>
      <c r="AR92" s="44"/>
      <c r="AX92" s="17"/>
      <c r="AY92" s="8"/>
      <c r="BB92" s="4"/>
      <c r="BC92" s="4"/>
      <c r="BD92" s="8"/>
    </row>
    <row r="93" spans="2:56" ht="15" customHeight="1">
      <c r="B93" s="1211" t="s">
        <v>965</v>
      </c>
      <c r="C93" s="556" t="s">
        <v>964</v>
      </c>
      <c r="D93" s="561" t="s">
        <v>966</v>
      </c>
      <c r="E93" s="2392">
        <v>0.17</v>
      </c>
      <c r="F93" s="380">
        <v>2.1999999999999999E-2</v>
      </c>
      <c r="G93" s="380">
        <v>0.06</v>
      </c>
      <c r="H93" s="1298">
        <v>39</v>
      </c>
      <c r="I93" s="1359">
        <v>179.5</v>
      </c>
      <c r="J93" s="1359">
        <v>113.7</v>
      </c>
      <c r="K93" s="1359">
        <v>17.600000000000001</v>
      </c>
      <c r="L93" s="1359">
        <v>0.17499999999999999</v>
      </c>
      <c r="M93" s="1359">
        <v>45.22</v>
      </c>
      <c r="N93" s="1359">
        <v>0</v>
      </c>
      <c r="O93" s="1359">
        <v>0.05</v>
      </c>
      <c r="P93" s="2412">
        <v>0.1</v>
      </c>
      <c r="Q93" s="557">
        <v>10</v>
      </c>
      <c r="R93" s="8"/>
      <c r="T93" s="436"/>
      <c r="U93" s="2579"/>
      <c r="V93" s="44"/>
      <c r="W93" s="222"/>
      <c r="X93" s="44"/>
      <c r="Y93" s="789"/>
      <c r="AB93" s="153"/>
      <c r="AC93" s="153"/>
      <c r="AD93" s="153"/>
      <c r="AE93" s="153"/>
      <c r="AF93" s="8"/>
      <c r="AG93" s="45"/>
      <c r="AH93" s="4"/>
      <c r="AI93" s="66"/>
      <c r="AJ93" s="176"/>
      <c r="AK93" s="176"/>
      <c r="AL93" s="176"/>
      <c r="AM93" s="176"/>
      <c r="AN93" s="176"/>
      <c r="AO93" s="176"/>
      <c r="AP93" s="176"/>
      <c r="AQ93" s="176"/>
      <c r="AR93" s="176"/>
      <c r="AX93" s="17"/>
      <c r="AY93" s="8"/>
      <c r="BB93" s="4"/>
      <c r="BC93" s="4"/>
      <c r="BD93" s="22"/>
    </row>
    <row r="94" spans="2:56" ht="15.75" customHeight="1" thickBot="1">
      <c r="B94" s="2560" t="s">
        <v>1004</v>
      </c>
      <c r="C94" s="563" t="s">
        <v>1008</v>
      </c>
      <c r="D94" s="574">
        <v>110</v>
      </c>
      <c r="E94" s="1370">
        <v>11</v>
      </c>
      <c r="F94" s="1370">
        <v>0.04</v>
      </c>
      <c r="G94" s="1370">
        <v>5.1999999999999998E-2</v>
      </c>
      <c r="H94" s="2457">
        <v>22</v>
      </c>
      <c r="I94" s="1370">
        <v>10.48</v>
      </c>
      <c r="J94" s="1370">
        <v>30.1</v>
      </c>
      <c r="K94" s="1370">
        <v>11.48</v>
      </c>
      <c r="L94" s="1370">
        <v>1.34</v>
      </c>
      <c r="M94" s="1370">
        <v>58.2</v>
      </c>
      <c r="N94" s="1370">
        <v>0.01</v>
      </c>
      <c r="O94" s="1370">
        <v>0</v>
      </c>
      <c r="P94" s="1371">
        <v>0.3</v>
      </c>
      <c r="Q94" s="627">
        <v>74</v>
      </c>
      <c r="R94" s="9"/>
      <c r="S94" s="22"/>
      <c r="T94" s="210"/>
      <c r="U94" s="44"/>
      <c r="V94" s="702"/>
      <c r="W94" s="792"/>
      <c r="X94" s="793"/>
      <c r="Y94" s="2310"/>
      <c r="Z94" s="210"/>
      <c r="AB94" s="152"/>
      <c r="AC94" s="152"/>
      <c r="AD94" s="152"/>
      <c r="AE94" s="153"/>
      <c r="AF94" s="32"/>
      <c r="AG94" s="377"/>
      <c r="AH94" s="4"/>
      <c r="AI94" s="9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X94" s="8"/>
      <c r="AY94" s="8"/>
      <c r="BB94" s="13"/>
      <c r="BC94" s="13"/>
      <c r="BD94" s="22"/>
    </row>
    <row r="95" spans="2:56" ht="16.5" customHeight="1">
      <c r="B95" s="565" t="s">
        <v>357</v>
      </c>
      <c r="C95" s="433"/>
      <c r="D95" s="2292">
        <f>D92+D94+15+35</f>
        <v>360</v>
      </c>
      <c r="E95" s="1360">
        <f t="shared" ref="E95:P95" si="4">SUM(E92:E94)</f>
        <v>11.21</v>
      </c>
      <c r="F95" s="2482">
        <f t="shared" si="4"/>
        <v>6.2E-2</v>
      </c>
      <c r="G95" s="2482">
        <f t="shared" si="4"/>
        <v>0.122</v>
      </c>
      <c r="H95" s="1361">
        <f t="shared" si="4"/>
        <v>61.3</v>
      </c>
      <c r="I95" s="1362">
        <f t="shared" si="4"/>
        <v>194.48</v>
      </c>
      <c r="J95" s="1362">
        <f t="shared" si="4"/>
        <v>151</v>
      </c>
      <c r="K95" s="1361">
        <f t="shared" si="4"/>
        <v>32.880000000000003</v>
      </c>
      <c r="L95" s="1362">
        <f t="shared" si="4"/>
        <v>2.2450000000000001</v>
      </c>
      <c r="M95" s="1362">
        <f t="shared" si="4"/>
        <v>124.19</v>
      </c>
      <c r="N95" s="1362">
        <f t="shared" si="4"/>
        <v>0.01</v>
      </c>
      <c r="O95" s="1362">
        <f t="shared" si="4"/>
        <v>0.05</v>
      </c>
      <c r="P95" s="2485">
        <f t="shared" si="4"/>
        <v>0.4</v>
      </c>
      <c r="Q95" s="360"/>
      <c r="S95" s="63"/>
      <c r="U95" s="1"/>
      <c r="Y95" s="44"/>
      <c r="Z95" s="44"/>
      <c r="AA95" s="44"/>
      <c r="AB95" s="44"/>
      <c r="AC95" s="44"/>
      <c r="AD95" s="44"/>
      <c r="AE95" s="153"/>
      <c r="AF95" s="32"/>
      <c r="AG95" s="153"/>
      <c r="AH95" s="153"/>
      <c r="AI95" s="153"/>
      <c r="AJ95" s="111"/>
      <c r="AK95" s="153"/>
      <c r="AL95" s="153"/>
      <c r="AM95" s="153"/>
      <c r="AN95" s="153"/>
      <c r="AO95" s="153"/>
      <c r="AP95" s="153"/>
      <c r="AQ95" s="153"/>
      <c r="AR95" s="153"/>
      <c r="AS95" s="153"/>
      <c r="AX95" s="8"/>
      <c r="AY95" s="8"/>
      <c r="BB95" s="13"/>
      <c r="BC95" s="13"/>
      <c r="BD95" s="22"/>
    </row>
    <row r="96" spans="2:56" ht="17.25" customHeight="1">
      <c r="B96" s="1343"/>
      <c r="C96" s="1344" t="s">
        <v>12</v>
      </c>
      <c r="D96" s="2261">
        <v>0.1</v>
      </c>
      <c r="E96" s="1355">
        <v>7</v>
      </c>
      <c r="F96" s="1365">
        <v>0.14000000000000001</v>
      </c>
      <c r="G96" s="1364">
        <v>0.16</v>
      </c>
      <c r="H96" s="1363">
        <v>90</v>
      </c>
      <c r="I96" s="1365">
        <v>120</v>
      </c>
      <c r="J96" s="1364">
        <v>120</v>
      </c>
      <c r="K96" s="1363">
        <v>30</v>
      </c>
      <c r="L96" s="1365">
        <v>1.8</v>
      </c>
      <c r="M96" s="1369">
        <v>120</v>
      </c>
      <c r="N96" s="1365">
        <v>0.01</v>
      </c>
      <c r="O96" s="1364">
        <v>5.0000000000000001E-3</v>
      </c>
      <c r="P96" s="1366">
        <v>0.4</v>
      </c>
      <c r="Q96" s="105"/>
      <c r="S96" s="32"/>
      <c r="T96" s="658"/>
      <c r="U96" s="1"/>
      <c r="Z96" s="44"/>
      <c r="AA96" s="44"/>
      <c r="AB96" s="44"/>
      <c r="AC96" s="44"/>
      <c r="AD96" s="44"/>
      <c r="AE96" s="153"/>
      <c r="AF96" s="32"/>
      <c r="AX96" s="8"/>
      <c r="AY96" s="8"/>
      <c r="BB96" s="21"/>
      <c r="BC96" s="13"/>
      <c r="BD96" s="22"/>
    </row>
    <row r="97" spans="2:58" ht="14.25" customHeight="1" thickBot="1">
      <c r="B97" s="237"/>
      <c r="C97" s="1347" t="s">
        <v>939</v>
      </c>
      <c r="D97" s="1348" t="s">
        <v>280</v>
      </c>
      <c r="E97" s="2265">
        <f>(E95*100/E99)-10</f>
        <v>6.014285714285716</v>
      </c>
      <c r="F97" s="2266">
        <f t="shared" ref="F97:O97" si="5">(F95*100/F99)-10</f>
        <v>-5.5714285714285712</v>
      </c>
      <c r="G97" s="2266">
        <f t="shared" si="5"/>
        <v>-2.3750000000000009</v>
      </c>
      <c r="H97" s="2266">
        <f t="shared" si="5"/>
        <v>-3.1888888888888891</v>
      </c>
      <c r="I97" s="2266">
        <f t="shared" si="5"/>
        <v>6.206666666666667</v>
      </c>
      <c r="J97" s="2266">
        <f t="shared" si="5"/>
        <v>2.5833333333333339</v>
      </c>
      <c r="K97" s="2266">
        <f t="shared" si="5"/>
        <v>0.96000000000000085</v>
      </c>
      <c r="L97" s="2266">
        <f t="shared" si="5"/>
        <v>2.4722222222222214</v>
      </c>
      <c r="M97" s="2266">
        <f t="shared" si="5"/>
        <v>0.34916666666666707</v>
      </c>
      <c r="N97" s="2266">
        <f t="shared" si="5"/>
        <v>0</v>
      </c>
      <c r="O97" s="2266">
        <f t="shared" si="5"/>
        <v>90</v>
      </c>
      <c r="P97" s="2267">
        <f>(P95*100/P99)-10</f>
        <v>0</v>
      </c>
      <c r="Q97" s="105"/>
      <c r="R97" s="1"/>
      <c r="S97" s="733"/>
      <c r="T97" s="617"/>
      <c r="U97" s="746"/>
      <c r="V97" s="204"/>
      <c r="W97" s="46"/>
      <c r="X97" s="46"/>
      <c r="Y97" s="46"/>
      <c r="Z97" s="46"/>
      <c r="AA97" s="46"/>
      <c r="AB97" s="214"/>
      <c r="AC97" s="46"/>
      <c r="AD97" s="46"/>
      <c r="AE97" s="66"/>
      <c r="AF97" s="30"/>
      <c r="AJ97" s="20"/>
      <c r="AK97" s="363"/>
      <c r="AM97" s="20"/>
      <c r="AN97" s="20"/>
      <c r="AP97" s="43"/>
      <c r="AT97" s="17"/>
      <c r="AX97" s="8"/>
      <c r="AY97" s="8"/>
      <c r="BB97" s="13"/>
      <c r="BC97" s="13"/>
      <c r="BD97" s="22"/>
    </row>
    <row r="98" spans="2:58" ht="14.25" customHeight="1" thickBot="1">
      <c r="E98" s="2439"/>
      <c r="F98" s="2439"/>
      <c r="G98" s="2439"/>
      <c r="H98" s="2439"/>
      <c r="I98" s="2439"/>
      <c r="J98" s="2439"/>
      <c r="K98" s="2439"/>
      <c r="L98" s="2439"/>
      <c r="M98" s="2439"/>
      <c r="N98" s="2439"/>
      <c r="O98" s="2439"/>
      <c r="P98" s="2439"/>
      <c r="Q98" s="105"/>
      <c r="S98" s="44"/>
      <c r="U98" s="1"/>
      <c r="V98" s="1"/>
      <c r="W98" s="1"/>
      <c r="X98" s="1"/>
      <c r="Y98" s="1"/>
      <c r="Z98" s="1"/>
      <c r="AA98" s="1"/>
      <c r="AB98" s="1"/>
      <c r="AC98" s="1"/>
      <c r="AD98" s="1"/>
      <c r="AT98" s="17"/>
      <c r="AX98" s="8"/>
      <c r="AY98" s="8"/>
      <c r="BB98" s="13"/>
      <c r="BC98" s="13"/>
      <c r="BD98" s="22"/>
    </row>
    <row r="99" spans="2:58" ht="13.5" customHeight="1" thickBot="1">
      <c r="B99" s="2369" t="s">
        <v>959</v>
      </c>
      <c r="C99" s="2262"/>
      <c r="D99" s="2263">
        <v>1</v>
      </c>
      <c r="E99" s="2407">
        <v>70</v>
      </c>
      <c r="F99" s="2408">
        <v>1.4</v>
      </c>
      <c r="G99" s="2408">
        <v>1.6</v>
      </c>
      <c r="H99" s="2264">
        <v>900</v>
      </c>
      <c r="I99" s="2405">
        <v>1200</v>
      </c>
      <c r="J99" s="2406">
        <v>1200</v>
      </c>
      <c r="K99" s="2406">
        <v>300</v>
      </c>
      <c r="L99" s="2409">
        <v>18</v>
      </c>
      <c r="M99" s="2405">
        <v>1200</v>
      </c>
      <c r="N99" s="2409">
        <v>0.1</v>
      </c>
      <c r="O99" s="2409">
        <v>0.05</v>
      </c>
      <c r="P99" s="2410">
        <v>4</v>
      </c>
      <c r="Q99" s="105"/>
      <c r="R99" s="150"/>
      <c r="S99" s="30"/>
      <c r="U99" s="1"/>
      <c r="V99" s="111"/>
      <c r="W99" s="383"/>
      <c r="X99" s="383"/>
      <c r="Y99" s="383"/>
      <c r="Z99" s="383"/>
      <c r="AA99" s="44"/>
      <c r="AB99" s="223"/>
      <c r="AC99" s="44"/>
      <c r="AD99" s="44"/>
      <c r="AE99" s="119"/>
      <c r="AF99" s="118"/>
      <c r="AJ99" s="20"/>
      <c r="AK99" s="20"/>
      <c r="AM99" s="20"/>
      <c r="AN99" s="20"/>
      <c r="AP99" s="4"/>
      <c r="AT99" s="8"/>
      <c r="AX99" s="14"/>
      <c r="AY99" s="14"/>
      <c r="BB99" s="13"/>
      <c r="BC99" s="13"/>
      <c r="BD99" s="732"/>
    </row>
    <row r="100" spans="2:58" ht="15" customHeight="1">
      <c r="B100" s="1021"/>
      <c r="C100" s="34" t="s">
        <v>481</v>
      </c>
      <c r="D100" s="35"/>
      <c r="E100" s="145">
        <f t="shared" ref="E100:P100" si="6">E77+E88</f>
        <v>35.539299999999997</v>
      </c>
      <c r="F100" s="243">
        <f t="shared" si="6"/>
        <v>0.86339999999999995</v>
      </c>
      <c r="G100" s="243">
        <f t="shared" si="6"/>
        <v>0.92490000000000006</v>
      </c>
      <c r="H100" s="243">
        <f t="shared" si="6"/>
        <v>778.47900000000004</v>
      </c>
      <c r="I100" s="243">
        <f t="shared" si="6"/>
        <v>823.49</v>
      </c>
      <c r="J100" s="243">
        <f t="shared" si="6"/>
        <v>778.87000000000012</v>
      </c>
      <c r="K100" s="243">
        <f t="shared" si="6"/>
        <v>214.28699999999998</v>
      </c>
      <c r="L100" s="243">
        <f t="shared" si="6"/>
        <v>10.782</v>
      </c>
      <c r="M100" s="243">
        <f t="shared" si="6"/>
        <v>701.36400000000003</v>
      </c>
      <c r="N100" s="243">
        <f t="shared" si="6"/>
        <v>2.7300000000000001E-2</v>
      </c>
      <c r="O100" s="243">
        <f t="shared" si="6"/>
        <v>2.8499999999999998E-2</v>
      </c>
      <c r="P100" s="1024">
        <f t="shared" si="6"/>
        <v>2.3111999999999999</v>
      </c>
      <c r="Q100" s="105"/>
      <c r="R100" s="9"/>
      <c r="S100" s="1481"/>
      <c r="T100" s="433"/>
      <c r="U100" s="8"/>
      <c r="V100" s="111"/>
      <c r="W100" s="44"/>
      <c r="X100" s="44"/>
      <c r="Y100" s="44"/>
      <c r="Z100" s="44"/>
      <c r="AA100" s="44"/>
      <c r="AB100" s="44"/>
      <c r="AC100" s="44"/>
      <c r="AD100" s="44"/>
      <c r="AE100" s="119"/>
      <c r="AF100" s="117"/>
      <c r="AG100" s="364"/>
      <c r="AH100" s="365"/>
      <c r="AI100" s="366"/>
      <c r="AJ100" s="367"/>
      <c r="AK100" s="42"/>
      <c r="AL100" s="42"/>
      <c r="AM100" s="42"/>
      <c r="AN100" s="42"/>
      <c r="AO100" s="42"/>
      <c r="AP100" s="42"/>
      <c r="AQ100" s="364"/>
      <c r="AR100" s="364"/>
      <c r="AS100" s="698"/>
      <c r="AT100" s="46"/>
      <c r="AX100" s="14"/>
      <c r="AY100" s="14"/>
      <c r="BB100" s="13"/>
      <c r="BC100" s="13"/>
      <c r="BD100" s="22"/>
    </row>
    <row r="101" spans="2:58" ht="15" customHeight="1">
      <c r="B101" s="513"/>
      <c r="C101" s="1368" t="s">
        <v>12</v>
      </c>
      <c r="D101" s="2261">
        <v>0.6</v>
      </c>
      <c r="E101" s="1355">
        <v>42</v>
      </c>
      <c r="F101" s="1365">
        <v>0.84</v>
      </c>
      <c r="G101" s="1364">
        <v>0.96</v>
      </c>
      <c r="H101" s="1363">
        <v>540</v>
      </c>
      <c r="I101" s="1365">
        <v>720</v>
      </c>
      <c r="J101" s="1364">
        <v>720</v>
      </c>
      <c r="K101" s="1363">
        <v>180</v>
      </c>
      <c r="L101" s="1365">
        <v>10.8</v>
      </c>
      <c r="M101" s="1369">
        <v>720</v>
      </c>
      <c r="N101" s="1365">
        <v>0.06</v>
      </c>
      <c r="O101" s="1364">
        <v>0.03</v>
      </c>
      <c r="P101" s="1366">
        <v>2.4</v>
      </c>
      <c r="Q101" s="105"/>
      <c r="R101" s="9"/>
      <c r="T101" s="436"/>
      <c r="U101" s="2579"/>
      <c r="V101" s="111"/>
      <c r="W101" s="383"/>
      <c r="X101" s="383"/>
      <c r="Y101" s="383"/>
      <c r="Z101" s="383"/>
      <c r="AA101" s="44"/>
      <c r="AB101" s="223"/>
      <c r="AC101" s="44"/>
      <c r="AD101" s="44"/>
      <c r="AE101" s="430"/>
      <c r="AF101" s="32"/>
      <c r="AG101" s="49"/>
      <c r="AH101" s="49"/>
      <c r="AI101" s="49"/>
      <c r="AJ101" s="368"/>
      <c r="AK101" s="49"/>
      <c r="AL101" s="49"/>
      <c r="AM101" s="49"/>
      <c r="AN101" s="49"/>
      <c r="AO101" s="49"/>
      <c r="AP101" s="49"/>
      <c r="AQ101" s="49"/>
      <c r="AR101" s="49"/>
      <c r="AS101" s="49"/>
      <c r="AT101" s="8"/>
      <c r="AX101" s="8"/>
      <c r="AY101" s="8"/>
      <c r="BB101" s="13"/>
      <c r="BC101" s="13"/>
      <c r="BD101" s="22"/>
    </row>
    <row r="102" spans="2:58" ht="13.5" customHeight="1" thickBot="1">
      <c r="B102" s="237"/>
      <c r="C102" s="1347" t="s">
        <v>939</v>
      </c>
      <c r="D102" s="1356" t="s">
        <v>280</v>
      </c>
      <c r="E102" s="2265">
        <f>(E100*100/E99)-60</f>
        <v>-9.2295714285714325</v>
      </c>
      <c r="F102" s="2266">
        <f t="shared" ref="F102:P102" si="7">(F100*100/F99)-60</f>
        <v>1.6714285714285708</v>
      </c>
      <c r="G102" s="2266">
        <f t="shared" si="7"/>
        <v>-2.1937499999999943</v>
      </c>
      <c r="H102" s="2266">
        <f t="shared" si="7"/>
        <v>26.497666666666674</v>
      </c>
      <c r="I102" s="2266">
        <f t="shared" si="7"/>
        <v>8.6241666666666674</v>
      </c>
      <c r="J102" s="2266">
        <f t="shared" si="7"/>
        <v>4.9058333333333479</v>
      </c>
      <c r="K102" s="2266">
        <f t="shared" si="7"/>
        <v>11.428999999999988</v>
      </c>
      <c r="L102" s="2266">
        <f t="shared" si="7"/>
        <v>-9.9999999999994316E-2</v>
      </c>
      <c r="M102" s="2266">
        <f t="shared" si="7"/>
        <v>-1.5529999999999902</v>
      </c>
      <c r="N102" s="2266">
        <f t="shared" si="7"/>
        <v>-32.700000000000003</v>
      </c>
      <c r="O102" s="2266">
        <f t="shared" si="7"/>
        <v>-3.0000000000000071</v>
      </c>
      <c r="P102" s="2267">
        <f t="shared" si="7"/>
        <v>-2.2199999999999989</v>
      </c>
      <c r="Q102" s="105"/>
      <c r="R102" s="9"/>
      <c r="S102" s="152"/>
      <c r="T102" s="210"/>
      <c r="U102" s="44"/>
      <c r="V102" s="111"/>
      <c r="W102" s="383"/>
      <c r="X102" s="383"/>
      <c r="Y102" s="383"/>
      <c r="Z102" s="383"/>
      <c r="AA102" s="44"/>
      <c r="AB102" s="223"/>
      <c r="AC102" s="44"/>
      <c r="AD102" s="44"/>
      <c r="AE102" s="430"/>
      <c r="AF102" s="32"/>
      <c r="AG102" s="153"/>
      <c r="AH102" s="430"/>
      <c r="AI102" s="153"/>
      <c r="AJ102" s="111"/>
      <c r="AK102" s="153"/>
      <c r="AL102" s="153"/>
      <c r="AM102" s="430"/>
      <c r="AN102" s="430"/>
      <c r="AO102" s="153"/>
      <c r="AP102" s="147"/>
      <c r="AQ102" s="153"/>
      <c r="AR102" s="153"/>
      <c r="AS102" s="153"/>
      <c r="AX102" s="14"/>
      <c r="AY102" s="14"/>
      <c r="BB102" s="13"/>
      <c r="BC102" s="13"/>
      <c r="BD102" s="22"/>
    </row>
    <row r="103" spans="2:58" ht="17.25" customHeight="1">
      <c r="B103" s="1021"/>
      <c r="C103" s="34" t="s">
        <v>480</v>
      </c>
      <c r="D103" s="35"/>
      <c r="E103" s="145">
        <f t="shared" ref="E103:P103" si="8">E88+E95</f>
        <v>34.129300000000001</v>
      </c>
      <c r="F103" s="243">
        <f t="shared" si="8"/>
        <v>0.59630000000000005</v>
      </c>
      <c r="G103" s="243">
        <f t="shared" si="8"/>
        <v>0.6826000000000001</v>
      </c>
      <c r="H103" s="243">
        <f t="shared" si="8"/>
        <v>668.32899999999995</v>
      </c>
      <c r="I103" s="243">
        <f t="shared" si="8"/>
        <v>675.63699999999994</v>
      </c>
      <c r="J103" s="243">
        <f t="shared" si="8"/>
        <v>657.38000000000011</v>
      </c>
      <c r="K103" s="243">
        <f t="shared" si="8"/>
        <v>180.90699999999998</v>
      </c>
      <c r="L103" s="243">
        <f t="shared" si="8"/>
        <v>8.66</v>
      </c>
      <c r="M103" s="243">
        <f t="shared" si="8"/>
        <v>541.30099999999993</v>
      </c>
      <c r="N103" s="243">
        <f t="shared" si="8"/>
        <v>1.38E-2</v>
      </c>
      <c r="O103" s="243">
        <f t="shared" si="8"/>
        <v>6.8500000000000005E-2</v>
      </c>
      <c r="P103" s="1024">
        <f t="shared" si="8"/>
        <v>1.8071999999999999</v>
      </c>
      <c r="Q103" s="105"/>
      <c r="R103" s="9"/>
      <c r="S103" s="44"/>
      <c r="U103" s="1"/>
      <c r="V103" s="111"/>
      <c r="W103" s="44"/>
      <c r="X103" s="44"/>
      <c r="Y103" s="44"/>
      <c r="Z103" s="44"/>
      <c r="AA103" s="44"/>
      <c r="AB103" s="44"/>
      <c r="AC103" s="44"/>
      <c r="AD103" s="44"/>
      <c r="AE103" s="153"/>
      <c r="AF103" s="32"/>
      <c r="AG103" s="705"/>
      <c r="AH103" s="705"/>
      <c r="AI103" s="705"/>
      <c r="AJ103" s="705"/>
      <c r="AK103" s="705"/>
      <c r="AL103" s="705"/>
      <c r="AM103" s="706"/>
      <c r="AN103" s="705"/>
      <c r="AO103" s="706"/>
      <c r="AP103" s="706"/>
      <c r="AQ103" s="705"/>
      <c r="AR103" s="705"/>
      <c r="AS103" s="705"/>
      <c r="AT103" s="8"/>
      <c r="AX103" s="8"/>
      <c r="AY103" s="8"/>
      <c r="BB103" s="343"/>
      <c r="BC103" s="13"/>
      <c r="BD103" s="22"/>
    </row>
    <row r="104" spans="2:58" ht="17.25" customHeight="1">
      <c r="B104" s="513"/>
      <c r="C104" s="1368" t="s">
        <v>12</v>
      </c>
      <c r="D104" s="2261">
        <v>0.45</v>
      </c>
      <c r="E104" s="1355">
        <v>31.5</v>
      </c>
      <c r="F104" s="1365">
        <v>0.63</v>
      </c>
      <c r="G104" s="1364">
        <v>0.72</v>
      </c>
      <c r="H104" s="1364">
        <v>405</v>
      </c>
      <c r="I104" s="1365">
        <v>540</v>
      </c>
      <c r="J104" s="1364">
        <v>540</v>
      </c>
      <c r="K104" s="1364">
        <v>135</v>
      </c>
      <c r="L104" s="1365">
        <v>8.1</v>
      </c>
      <c r="M104" s="1365">
        <v>540</v>
      </c>
      <c r="N104" s="1365">
        <v>4.4999999999999998E-2</v>
      </c>
      <c r="O104" s="1364">
        <v>2.2499999999999999E-2</v>
      </c>
      <c r="P104" s="1366">
        <v>1.8</v>
      </c>
      <c r="Q104" s="105"/>
      <c r="R104" s="9"/>
      <c r="S104" s="44"/>
      <c r="T104" s="433"/>
      <c r="U104" s="8"/>
      <c r="V104" s="111"/>
      <c r="W104" s="44"/>
      <c r="X104" s="44"/>
      <c r="Y104" s="44"/>
      <c r="Z104" s="44"/>
      <c r="AA104" s="44"/>
      <c r="AB104" s="44"/>
      <c r="AC104" s="44"/>
      <c r="AD104" s="44"/>
      <c r="AE104" s="153"/>
      <c r="AF104" s="32"/>
      <c r="AT104" s="8"/>
      <c r="AX104" s="8"/>
      <c r="AY104" s="8"/>
      <c r="BB104" s="13"/>
      <c r="BC104" s="13"/>
      <c r="BD104" s="22"/>
    </row>
    <row r="105" spans="2:58" ht="18" customHeight="1" thickBot="1">
      <c r="B105" s="237"/>
      <c r="C105" s="1347" t="s">
        <v>939</v>
      </c>
      <c r="D105" s="1356" t="s">
        <v>280</v>
      </c>
      <c r="E105" s="2265">
        <f>(E103*100/E99)-45</f>
        <v>3.7561428571428621</v>
      </c>
      <c r="F105" s="2266">
        <f t="shared" ref="F105:P105" si="9">(F103*100/F99)-45</f>
        <v>-2.4071428571428513</v>
      </c>
      <c r="G105" s="2266">
        <f t="shared" si="9"/>
        <v>-2.3374999999999986</v>
      </c>
      <c r="H105" s="2266">
        <f t="shared" si="9"/>
        <v>29.258777777777766</v>
      </c>
      <c r="I105" s="2266">
        <f t="shared" si="9"/>
        <v>11.303083333333333</v>
      </c>
      <c r="J105" s="2266">
        <f t="shared" si="9"/>
        <v>9.7816666666666805</v>
      </c>
      <c r="K105" s="2266">
        <f t="shared" si="9"/>
        <v>15.302333333333323</v>
      </c>
      <c r="L105" s="2266">
        <f t="shared" si="9"/>
        <v>3.1111111111111143</v>
      </c>
      <c r="M105" s="2266">
        <f t="shared" si="9"/>
        <v>0.10841666666665617</v>
      </c>
      <c r="N105" s="2266">
        <f t="shared" si="9"/>
        <v>-31.200000000000003</v>
      </c>
      <c r="O105" s="2266">
        <f t="shared" si="9"/>
        <v>92</v>
      </c>
      <c r="P105" s="2267">
        <f t="shared" si="9"/>
        <v>0.17999999999999972</v>
      </c>
      <c r="Q105" s="105"/>
      <c r="R105" s="9"/>
      <c r="S105" s="44"/>
      <c r="T105" s="436"/>
      <c r="U105" s="2579"/>
      <c r="V105" s="111"/>
      <c r="W105" s="44"/>
      <c r="X105" s="44"/>
      <c r="Y105" s="44"/>
      <c r="Z105" s="44"/>
      <c r="AA105" s="44"/>
      <c r="AB105" s="44"/>
      <c r="AC105" s="44"/>
      <c r="AD105" s="44"/>
      <c r="AE105" s="153"/>
      <c r="AF105" s="33"/>
      <c r="AP105" s="43"/>
      <c r="AR105" s="43"/>
      <c r="AT105" s="8"/>
      <c r="AX105" s="8"/>
      <c r="AY105" s="8"/>
      <c r="BB105" s="13"/>
      <c r="BC105" s="13"/>
      <c r="BD105" s="22"/>
    </row>
    <row r="106" spans="2:58" ht="15.75" customHeight="1" thickBot="1"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05"/>
      <c r="R106" s="9"/>
      <c r="S106" s="44"/>
      <c r="T106" s="210"/>
      <c r="U106" s="44"/>
      <c r="V106" s="111"/>
      <c r="W106" s="44"/>
      <c r="X106" s="44"/>
      <c r="Y106" s="44"/>
      <c r="Z106" s="44"/>
      <c r="AA106" s="44"/>
      <c r="AB106" s="44"/>
      <c r="AC106" s="223"/>
      <c r="AD106" s="44"/>
      <c r="AE106" s="153"/>
      <c r="AF106" s="44"/>
      <c r="AJ106" s="707"/>
      <c r="AR106" s="43"/>
      <c r="AT106" s="8"/>
      <c r="AX106" s="8"/>
      <c r="AY106" s="8"/>
      <c r="BB106" s="13"/>
      <c r="BC106" s="13"/>
      <c r="BD106" s="22"/>
    </row>
    <row r="107" spans="2:58" ht="12.75" customHeight="1">
      <c r="B107" s="1372" t="s">
        <v>728</v>
      </c>
      <c r="C107" s="34"/>
      <c r="D107" s="47"/>
      <c r="E107" s="145">
        <f t="shared" ref="E107:P107" si="10">E77+E88+E95</f>
        <v>46.749299999999998</v>
      </c>
      <c r="F107" s="243">
        <f t="shared" si="10"/>
        <v>0.9254</v>
      </c>
      <c r="G107" s="243">
        <f t="shared" si="10"/>
        <v>1.0468999999999999</v>
      </c>
      <c r="H107" s="243">
        <f t="shared" si="10"/>
        <v>839.779</v>
      </c>
      <c r="I107" s="1367">
        <f t="shared" si="10"/>
        <v>1017.97</v>
      </c>
      <c r="J107" s="243">
        <f t="shared" si="10"/>
        <v>929.87000000000012</v>
      </c>
      <c r="K107" s="243">
        <f t="shared" si="10"/>
        <v>247.16699999999997</v>
      </c>
      <c r="L107" s="243">
        <f t="shared" si="10"/>
        <v>13.027000000000001</v>
      </c>
      <c r="M107" s="243">
        <f t="shared" si="10"/>
        <v>825.55400000000009</v>
      </c>
      <c r="N107" s="243">
        <f t="shared" si="10"/>
        <v>3.73E-2</v>
      </c>
      <c r="O107" s="243">
        <f t="shared" si="10"/>
        <v>7.85E-2</v>
      </c>
      <c r="P107" s="1024">
        <f t="shared" si="10"/>
        <v>2.7111999999999998</v>
      </c>
      <c r="Q107" s="105"/>
      <c r="R107" s="1"/>
      <c r="S107" s="46"/>
      <c r="U107" s="1"/>
      <c r="V107" s="204"/>
      <c r="W107" s="46"/>
      <c r="X107" s="46"/>
      <c r="Y107" s="46"/>
      <c r="Z107" s="46"/>
      <c r="AA107" s="46"/>
      <c r="AB107" s="214"/>
      <c r="AC107" s="46"/>
      <c r="AD107" s="46"/>
      <c r="AE107" s="48"/>
      <c r="AF107" s="44"/>
      <c r="AG107" s="32"/>
      <c r="AH107" s="4"/>
      <c r="AI107" s="9"/>
      <c r="AJ107" s="44"/>
      <c r="AK107" s="44"/>
      <c r="AL107" s="44"/>
      <c r="AM107" s="111"/>
      <c r="AN107" s="44"/>
      <c r="AO107" s="44"/>
      <c r="AP107" s="44"/>
      <c r="AQ107" s="44"/>
      <c r="AR107" s="44"/>
      <c r="AS107" s="44"/>
      <c r="AT107" s="44"/>
      <c r="AU107" s="44"/>
      <c r="AV107" s="153"/>
    </row>
    <row r="108" spans="2:58" ht="16.5" customHeight="1">
      <c r="B108" s="1343"/>
      <c r="C108" s="1344" t="s">
        <v>12</v>
      </c>
      <c r="D108" s="2261">
        <v>0.7</v>
      </c>
      <c r="E108" s="1355">
        <v>49</v>
      </c>
      <c r="F108" s="1365">
        <v>0.98</v>
      </c>
      <c r="G108" s="1364">
        <v>1.1200000000000001</v>
      </c>
      <c r="H108" s="1364">
        <v>630</v>
      </c>
      <c r="I108" s="1365">
        <v>840</v>
      </c>
      <c r="J108" s="1364">
        <v>840</v>
      </c>
      <c r="K108" s="1364">
        <v>210</v>
      </c>
      <c r="L108" s="1365">
        <v>12.6</v>
      </c>
      <c r="M108" s="1365">
        <v>840</v>
      </c>
      <c r="N108" s="1365">
        <v>7.0000000000000007E-2</v>
      </c>
      <c r="O108" s="1364">
        <v>3.5000000000000003E-2</v>
      </c>
      <c r="P108" s="1366">
        <v>2.8</v>
      </c>
      <c r="Q108" s="105"/>
      <c r="R108" s="8"/>
      <c r="S108" s="702"/>
      <c r="T108" s="433"/>
      <c r="U108" s="8"/>
      <c r="V108" s="702"/>
      <c r="W108" s="702"/>
      <c r="X108" s="702"/>
      <c r="Y108" s="703"/>
      <c r="Z108" s="702"/>
      <c r="AA108" s="703"/>
      <c r="AB108" s="703"/>
      <c r="AC108" s="702"/>
      <c r="AD108" s="702"/>
      <c r="AE108" s="702"/>
      <c r="AG108" s="32"/>
      <c r="AH108" s="382"/>
      <c r="AI108" s="9"/>
      <c r="AJ108" s="44"/>
      <c r="AK108" s="44"/>
      <c r="AL108" s="44"/>
      <c r="AM108" s="111"/>
      <c r="AN108" s="383"/>
      <c r="AO108" s="383"/>
      <c r="AP108" s="383"/>
      <c r="AQ108" s="383"/>
      <c r="AR108" s="44"/>
      <c r="AS108" s="223"/>
      <c r="AT108" s="44"/>
      <c r="AU108" s="44"/>
      <c r="AV108" s="119"/>
    </row>
    <row r="109" spans="2:58" ht="12.75" customHeight="1" thickBot="1">
      <c r="B109" s="237"/>
      <c r="C109" s="1347" t="s">
        <v>939</v>
      </c>
      <c r="D109" s="1348" t="s">
        <v>280</v>
      </c>
      <c r="E109" s="2265">
        <f>(E107*100/E99)-70</f>
        <v>-3.2152857142857272</v>
      </c>
      <c r="F109" s="2266">
        <f t="shared" ref="F109:O109" si="11">(F107*100/F99)-70</f>
        <v>-3.8999999999999915</v>
      </c>
      <c r="G109" s="2266">
        <f t="shared" si="11"/>
        <v>-4.5687500000000085</v>
      </c>
      <c r="H109" s="2266">
        <f t="shared" si="11"/>
        <v>23.308777777777777</v>
      </c>
      <c r="I109" s="2266">
        <f t="shared" si="11"/>
        <v>14.830833333333331</v>
      </c>
      <c r="J109" s="2266">
        <f t="shared" si="11"/>
        <v>7.4891666666666765</v>
      </c>
      <c r="K109" s="2266">
        <f t="shared" si="11"/>
        <v>12.388999999999996</v>
      </c>
      <c r="L109" s="2266">
        <f t="shared" si="11"/>
        <v>2.37222222222222</v>
      </c>
      <c r="M109" s="2266">
        <f t="shared" si="11"/>
        <v>-1.2038333333333213</v>
      </c>
      <c r="N109" s="2266">
        <f t="shared" si="11"/>
        <v>-32.700000000000003</v>
      </c>
      <c r="O109" s="2266">
        <f t="shared" si="11"/>
        <v>86.999999999999972</v>
      </c>
      <c r="P109" s="2267">
        <f>(P107*100/P99)-70</f>
        <v>-2.2199999999999989</v>
      </c>
      <c r="Q109" s="105"/>
      <c r="S109" s="437"/>
      <c r="T109" s="436"/>
      <c r="U109" s="2579"/>
      <c r="V109" s="437"/>
      <c r="W109" s="704"/>
      <c r="X109" s="437"/>
      <c r="Y109" s="437"/>
      <c r="Z109" s="437"/>
      <c r="AA109" s="432"/>
      <c r="AB109" s="432"/>
      <c r="AC109" s="437"/>
      <c r="AD109" s="437"/>
      <c r="AE109" s="438"/>
      <c r="AF109" s="8"/>
      <c r="AG109" s="63"/>
      <c r="AH109" s="4"/>
      <c r="AI109" s="150"/>
      <c r="AJ109" s="44"/>
      <c r="AK109" s="44"/>
      <c r="AL109" s="44"/>
      <c r="AM109" s="111"/>
      <c r="AN109" s="383"/>
      <c r="AO109" s="383"/>
      <c r="AP109" s="383"/>
      <c r="AQ109" s="383"/>
      <c r="AR109" s="44"/>
      <c r="AS109" s="223"/>
      <c r="AT109" s="44"/>
      <c r="AU109" s="44"/>
      <c r="AV109" s="119"/>
    </row>
    <row r="110" spans="2:58" ht="14.25" customHeight="1">
      <c r="Q110" s="1373"/>
      <c r="R110" s="1"/>
      <c r="S110" s="1"/>
      <c r="T110" s="210"/>
      <c r="U110" s="44"/>
      <c r="V110" s="1"/>
      <c r="W110" s="1"/>
      <c r="X110" s="1"/>
      <c r="Y110" s="1"/>
      <c r="Z110" s="1"/>
      <c r="AA110" s="1"/>
      <c r="AB110" s="1"/>
      <c r="AC110" s="1"/>
      <c r="AD110" s="1"/>
      <c r="AF110" s="21"/>
      <c r="AG110" s="1"/>
      <c r="AH110" s="40"/>
      <c r="AL110" s="18"/>
      <c r="AR110" s="1"/>
    </row>
    <row r="111" spans="2:58" ht="15" customHeight="1"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F111" s="30"/>
      <c r="AG111" s="2"/>
      <c r="AH111" s="40"/>
      <c r="AJ111" s="1"/>
      <c r="AK111" s="1"/>
      <c r="AL111" s="19"/>
      <c r="AM111" s="19"/>
      <c r="AN111" s="13"/>
      <c r="AO111" s="13"/>
      <c r="AP111" s="13"/>
      <c r="AQ111" s="13"/>
      <c r="AS111" s="32"/>
      <c r="AX111" s="113"/>
      <c r="AY111" s="8"/>
      <c r="AZ111" s="8"/>
      <c r="BA111" s="8"/>
      <c r="BB111" s="8"/>
      <c r="BC111" s="8"/>
      <c r="BD111" s="8"/>
      <c r="BE111" s="8"/>
      <c r="BF111" s="8"/>
    </row>
    <row r="112" spans="2:58" ht="14.25" customHeight="1">
      <c r="E112" s="1374"/>
      <c r="F112" s="1374"/>
      <c r="G112" s="1374"/>
      <c r="H112" s="1374"/>
      <c r="I112" s="1374"/>
      <c r="J112" s="1374"/>
      <c r="K112" s="1374"/>
      <c r="L112" s="1374"/>
      <c r="M112" s="1374"/>
      <c r="N112" s="1374"/>
      <c r="O112" s="1374"/>
      <c r="P112" s="1374"/>
      <c r="Q112" s="105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F112" s="32"/>
      <c r="AG112" s="32"/>
      <c r="AH112" s="4"/>
      <c r="AI112" s="8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56" ht="19.5" customHeight="1">
      <c r="D113" s="5" t="s">
        <v>286</v>
      </c>
      <c r="P113"/>
      <c r="Q113" s="105"/>
      <c r="R113" s="1"/>
      <c r="S113" s="1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F113" s="9"/>
      <c r="AG113" s="32"/>
      <c r="AI113" s="8"/>
      <c r="AJ113" s="708"/>
      <c r="AK113" s="708"/>
      <c r="AL113" s="708"/>
      <c r="AM113" s="708"/>
      <c r="AN113" s="708"/>
      <c r="AO113" s="708"/>
      <c r="AP113" s="708"/>
      <c r="AQ113" s="708"/>
      <c r="AR113" s="708"/>
      <c r="AS113" s="708"/>
      <c r="AX113" s="8"/>
      <c r="AY113" s="8"/>
    </row>
    <row r="114" spans="2:56" ht="16.5" customHeight="1">
      <c r="C114" s="1300" t="s">
        <v>695</v>
      </c>
      <c r="D114"/>
      <c r="E114" s="32"/>
      <c r="P114"/>
      <c r="Q114" s="105"/>
      <c r="R114" s="1"/>
      <c r="S114" s="1"/>
      <c r="V114" s="1"/>
      <c r="W114" s="1"/>
      <c r="X114" s="1"/>
      <c r="Y114" s="1"/>
      <c r="Z114" s="1"/>
      <c r="AA114" s="1"/>
      <c r="AB114" s="1"/>
      <c r="AC114" s="1"/>
      <c r="AD114" s="1"/>
      <c r="AF114" s="44"/>
      <c r="AG114" s="39"/>
      <c r="AJ114" s="13"/>
      <c r="AK114" s="13"/>
      <c r="AL114" s="13"/>
    </row>
    <row r="115" spans="2:56" ht="21.75" customHeight="1">
      <c r="C115" s="7" t="s">
        <v>754</v>
      </c>
      <c r="D115" s="8"/>
      <c r="E115" s="2"/>
      <c r="F115"/>
      <c r="P115"/>
      <c r="Q115" s="105"/>
      <c r="T115" s="19"/>
      <c r="U115" s="1"/>
      <c r="V115" s="1"/>
      <c r="AF115" s="44"/>
      <c r="AH115" s="169"/>
    </row>
    <row r="116" spans="2:56" ht="17.25" customHeight="1">
      <c r="E116" s="1300" t="s">
        <v>694</v>
      </c>
      <c r="F116"/>
      <c r="G116" s="19"/>
      <c r="H116" s="19"/>
      <c r="K116" s="94"/>
      <c r="P116"/>
      <c r="Q116" s="105"/>
      <c r="R116" s="19"/>
      <c r="T116" s="13"/>
      <c r="V116" s="19"/>
      <c r="W116" s="13"/>
      <c r="X116" s="13"/>
      <c r="Y116" s="13"/>
      <c r="Z116" s="13"/>
      <c r="AF116" s="41"/>
      <c r="AG116" s="32"/>
      <c r="AH116" s="4"/>
      <c r="AI116" s="32"/>
    </row>
    <row r="117" spans="2:56" ht="18.75" customHeight="1">
      <c r="C117" s="1" t="s">
        <v>359</v>
      </c>
      <c r="K117" s="32"/>
      <c r="P117"/>
      <c r="Q117" s="105"/>
      <c r="R117" s="1"/>
      <c r="S117" s="1"/>
      <c r="U117" s="23"/>
      <c r="V117" s="1"/>
      <c r="W117" s="1"/>
      <c r="X117" s="1"/>
      <c r="Y117" s="1"/>
      <c r="Z117" s="1"/>
      <c r="AA117" s="1"/>
      <c r="AB117" s="1"/>
      <c r="AC117" s="1"/>
      <c r="AD117" s="1"/>
      <c r="AF117" s="8"/>
      <c r="AG117" s="63"/>
      <c r="AH117" s="4"/>
      <c r="AU117" s="1"/>
      <c r="AX117" s="1"/>
      <c r="AY117" s="1"/>
    </row>
    <row r="118" spans="2:56" ht="19.5" customHeight="1">
      <c r="K118" s="385"/>
      <c r="P118"/>
      <c r="Q118" s="105"/>
      <c r="U118" s="1"/>
      <c r="V118" s="20"/>
      <c r="X118" s="2"/>
      <c r="Y118" s="13"/>
      <c r="Z118" s="13"/>
      <c r="AA118" s="13"/>
      <c r="AD118" s="24"/>
      <c r="AG118" s="45"/>
      <c r="AH118" s="4"/>
      <c r="AI118" s="8"/>
      <c r="AU118" s="1"/>
      <c r="AX118" s="1"/>
      <c r="AY118" s="1"/>
    </row>
    <row r="119" spans="2:56" ht="15" customHeight="1">
      <c r="C119" s="19" t="s">
        <v>282</v>
      </c>
      <c r="K119" s="45"/>
      <c r="P119"/>
      <c r="Q119" s="105"/>
      <c r="R119" s="13"/>
      <c r="U119" s="783"/>
      <c r="V119" s="19"/>
      <c r="W119" s="13"/>
      <c r="X119" s="13"/>
      <c r="Y119" s="13"/>
      <c r="Z119" s="13"/>
      <c r="AB119" s="18"/>
      <c r="AD119" s="2"/>
      <c r="AG119" s="32"/>
      <c r="AH119" s="4"/>
      <c r="AI119" s="8"/>
      <c r="AS119" s="18"/>
      <c r="AT119" s="1"/>
      <c r="AU119" s="1"/>
      <c r="AX119" s="1"/>
      <c r="AY119" s="1"/>
    </row>
    <row r="120" spans="2:56" ht="14.25" customHeight="1">
      <c r="B120" s="20" t="s">
        <v>698</v>
      </c>
      <c r="C120" s="13"/>
      <c r="D120"/>
      <c r="J120" s="20" t="s">
        <v>0</v>
      </c>
      <c r="K120"/>
      <c r="L120" s="2" t="s">
        <v>317</v>
      </c>
      <c r="M120" s="13"/>
      <c r="N120" s="13"/>
      <c r="O120" s="24"/>
      <c r="Q120" s="105"/>
      <c r="R120" s="1"/>
      <c r="S120" s="1"/>
      <c r="T120" s="18"/>
      <c r="U120" s="175"/>
      <c r="V120" s="1"/>
      <c r="W120" s="1"/>
      <c r="X120" s="1"/>
      <c r="Y120" s="1"/>
      <c r="Z120" s="1"/>
      <c r="AA120" s="1"/>
      <c r="AB120" s="1"/>
      <c r="AC120" s="1"/>
      <c r="AD120" s="1"/>
      <c r="AG120" s="377"/>
      <c r="AH120" s="4"/>
      <c r="AI120" s="8"/>
      <c r="AR120" s="1"/>
      <c r="AS120" s="1"/>
      <c r="AT120" s="1"/>
      <c r="AU120" s="1"/>
      <c r="AY120" s="2"/>
    </row>
    <row r="121" spans="2:56" ht="14.25" customHeight="1">
      <c r="D121" s="23" t="s">
        <v>1</v>
      </c>
      <c r="E121"/>
      <c r="F121"/>
      <c r="H121" s="19"/>
      <c r="P121"/>
      <c r="Q121" s="105"/>
      <c r="R121" s="1"/>
      <c r="S121" s="1"/>
      <c r="T121" s="94"/>
      <c r="U121" s="18"/>
      <c r="V121" s="1"/>
      <c r="W121" s="1"/>
      <c r="X121" s="1"/>
      <c r="Y121" s="1"/>
      <c r="Z121" s="1"/>
      <c r="AA121" s="1"/>
      <c r="AB121" s="1"/>
      <c r="AC121" s="1"/>
      <c r="AD121" s="1"/>
      <c r="AG121" s="63"/>
      <c r="AH121" s="169"/>
      <c r="AU121" s="117"/>
      <c r="AW121" s="40"/>
      <c r="AX121" s="14"/>
      <c r="AY121" s="14"/>
    </row>
    <row r="122" spans="2:56" ht="15.75" thickBot="1">
      <c r="C122" s="94" t="s">
        <v>729</v>
      </c>
      <c r="E122" s="1515"/>
      <c r="F122" s="1515"/>
      <c r="G122" s="1515"/>
      <c r="H122" s="1515"/>
      <c r="I122" s="1515"/>
      <c r="J122" s="1515"/>
      <c r="K122" s="1515"/>
      <c r="L122" s="1515"/>
      <c r="M122" s="1515"/>
      <c r="N122" s="1515"/>
      <c r="O122" s="1515"/>
      <c r="P122" s="1515"/>
      <c r="Q122" s="105"/>
      <c r="T122" s="169"/>
      <c r="U122" s="9"/>
      <c r="AE122" s="32"/>
      <c r="AG122" s="63"/>
      <c r="AH122" s="4"/>
      <c r="AI122" s="116"/>
      <c r="AJ122" s="17"/>
      <c r="AK122" s="296"/>
      <c r="AL122" s="8"/>
      <c r="AM122" s="711"/>
      <c r="AN122" s="8"/>
      <c r="AO122" s="8"/>
      <c r="AP122" s="8"/>
      <c r="AQ122" s="8"/>
      <c r="AR122" s="8"/>
      <c r="AS122" s="8"/>
      <c r="AU122" s="32"/>
      <c r="AV122" s="4"/>
      <c r="AW122" s="8"/>
      <c r="AX122" s="14"/>
      <c r="AY122" s="14"/>
      <c r="BB122" s="12"/>
      <c r="BC122" s="13"/>
      <c r="BD122" s="22"/>
    </row>
    <row r="123" spans="2:56" ht="15.75" thickBot="1">
      <c r="B123" s="1304" t="s">
        <v>700</v>
      </c>
      <c r="C123" s="99"/>
      <c r="D123" s="1376" t="s">
        <v>251</v>
      </c>
      <c r="E123" s="1306" t="s">
        <v>701</v>
      </c>
      <c r="F123" s="1307"/>
      <c r="G123" s="1307"/>
      <c r="H123" s="1308"/>
      <c r="I123" s="1309" t="s">
        <v>730</v>
      </c>
      <c r="J123" s="31"/>
      <c r="K123" s="1310"/>
      <c r="L123" s="31"/>
      <c r="M123" s="31"/>
      <c r="N123" s="31"/>
      <c r="O123" s="31"/>
      <c r="P123" s="54"/>
      <c r="Q123" s="1304" t="s">
        <v>703</v>
      </c>
      <c r="R123" s="9"/>
      <c r="S123" s="4"/>
      <c r="T123" s="4"/>
      <c r="U123" s="9"/>
      <c r="V123" s="8"/>
      <c r="W123" s="8"/>
      <c r="X123" s="17"/>
      <c r="Y123" s="4"/>
      <c r="Z123" s="4"/>
      <c r="AA123" s="8"/>
      <c r="AB123" s="4"/>
      <c r="AC123" s="4"/>
      <c r="AD123" s="4"/>
      <c r="AE123" s="13"/>
      <c r="AJ123" s="8"/>
      <c r="AK123" s="8"/>
      <c r="AL123" s="8"/>
      <c r="AM123" s="711"/>
      <c r="AN123" s="8"/>
      <c r="AO123" s="8"/>
      <c r="AP123" s="8"/>
      <c r="AQ123" s="8"/>
      <c r="AR123" s="8"/>
      <c r="AS123" s="8"/>
      <c r="AU123" s="32"/>
      <c r="AV123" s="62"/>
      <c r="AW123" s="62"/>
      <c r="AX123" s="14"/>
      <c r="AY123" s="14"/>
      <c r="BB123" s="13"/>
      <c r="BC123" s="13"/>
      <c r="BD123" s="22"/>
    </row>
    <row r="124" spans="2:56">
      <c r="B124" s="535" t="s">
        <v>704</v>
      </c>
      <c r="C124" s="530" t="s">
        <v>257</v>
      </c>
      <c r="D124" s="1377" t="s">
        <v>258</v>
      </c>
      <c r="E124" s="1312" t="s">
        <v>705</v>
      </c>
      <c r="F124" s="1313" t="s">
        <v>706</v>
      </c>
      <c r="G124" s="787" t="s">
        <v>707</v>
      </c>
      <c r="H124" s="1314" t="s">
        <v>708</v>
      </c>
      <c r="I124" s="1315" t="s">
        <v>709</v>
      </c>
      <c r="J124" s="1316" t="s">
        <v>710</v>
      </c>
      <c r="K124" s="1317" t="s">
        <v>711</v>
      </c>
      <c r="L124" s="1318" t="s">
        <v>712</v>
      </c>
      <c r="M124" s="1319" t="s">
        <v>713</v>
      </c>
      <c r="N124" s="835" t="s">
        <v>714</v>
      </c>
      <c r="O124" s="1319" t="s">
        <v>715</v>
      </c>
      <c r="P124" s="1320" t="s">
        <v>716</v>
      </c>
      <c r="Q124" s="1321" t="s">
        <v>717</v>
      </c>
      <c r="R124" s="9"/>
      <c r="T124" s="4"/>
      <c r="U124" s="9"/>
      <c r="AE124" s="22"/>
      <c r="AJ124" s="8"/>
      <c r="AK124" s="296"/>
      <c r="AL124" s="8"/>
      <c r="AM124" s="711"/>
      <c r="AN124" s="8"/>
      <c r="AO124" s="8"/>
      <c r="AP124" s="8"/>
      <c r="AQ124" s="8"/>
      <c r="AR124" s="8"/>
      <c r="AS124" s="8"/>
      <c r="AU124" s="32"/>
      <c r="AV124" s="4"/>
      <c r="AW124" s="8"/>
      <c r="AX124" s="8"/>
      <c r="AY124" s="8"/>
      <c r="BB124" s="13"/>
      <c r="BD124" s="22"/>
    </row>
    <row r="125" spans="2:56" ht="16.5" thickBot="1">
      <c r="B125" s="541" t="s">
        <v>718</v>
      </c>
      <c r="C125" s="579"/>
      <c r="D125" s="537"/>
      <c r="E125" s="56"/>
      <c r="F125" s="1378"/>
      <c r="H125" s="1378"/>
      <c r="I125" s="1379" t="s">
        <v>719</v>
      </c>
      <c r="J125" s="119" t="s">
        <v>720</v>
      </c>
      <c r="K125" s="1380" t="s">
        <v>721</v>
      </c>
      <c r="L125" s="1381" t="s">
        <v>722</v>
      </c>
      <c r="M125" s="1380" t="s">
        <v>723</v>
      </c>
      <c r="N125" s="46" t="s">
        <v>724</v>
      </c>
      <c r="O125" s="1382" t="s">
        <v>725</v>
      </c>
      <c r="P125" s="1383" t="s">
        <v>726</v>
      </c>
      <c r="Q125" s="1330" t="s">
        <v>490</v>
      </c>
      <c r="S125" s="658"/>
      <c r="T125" s="3"/>
      <c r="U125" s="17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U125" s="32"/>
      <c r="AV125" s="4"/>
      <c r="AW125" s="8"/>
      <c r="AX125" s="8"/>
      <c r="AY125" s="8"/>
      <c r="BB125" s="13"/>
      <c r="BC125" s="13"/>
      <c r="BD125" s="22"/>
    </row>
    <row r="126" spans="2:56" ht="13.5" customHeight="1">
      <c r="B126" s="99"/>
      <c r="C126" s="774" t="s">
        <v>199</v>
      </c>
      <c r="D126" s="543"/>
      <c r="E126" s="1331"/>
      <c r="F126" s="545"/>
      <c r="G126" s="545"/>
      <c r="H126" s="775"/>
      <c r="I126" s="1333"/>
      <c r="J126" s="1333"/>
      <c r="K126" s="1333"/>
      <c r="L126" s="1333"/>
      <c r="M126" s="1333"/>
      <c r="N126" s="1333"/>
      <c r="O126" s="1333"/>
      <c r="P126" s="1335"/>
      <c r="Q126" s="1336"/>
      <c r="R126" s="44"/>
      <c r="T126" s="169"/>
      <c r="V126" s="44"/>
      <c r="W126" s="44"/>
      <c r="X126" s="789"/>
      <c r="AE126" s="153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U126" s="32"/>
      <c r="AV126" s="4"/>
      <c r="AW126" s="8"/>
      <c r="AX126" s="8"/>
      <c r="AY126" s="8"/>
      <c r="BB126" s="4"/>
      <c r="BC126" s="4"/>
      <c r="BD126" s="9"/>
    </row>
    <row r="127" spans="2:56" ht="13.5" customHeight="1">
      <c r="B127" s="1350" t="s">
        <v>645</v>
      </c>
      <c r="C127" s="560" t="s">
        <v>375</v>
      </c>
      <c r="D127" s="561">
        <v>65</v>
      </c>
      <c r="E127" s="2392">
        <v>16.25</v>
      </c>
      <c r="F127" s="380">
        <v>4.3299999999999998E-2</v>
      </c>
      <c r="G127" s="380">
        <v>2.1669999999999998E-2</v>
      </c>
      <c r="H127" s="1384">
        <v>86.45</v>
      </c>
      <c r="I127" s="2394">
        <v>9.1</v>
      </c>
      <c r="J127" s="2394">
        <v>17.329999999999998</v>
      </c>
      <c r="K127" s="2394">
        <v>13</v>
      </c>
      <c r="L127" s="2394">
        <v>0.58499999999999996</v>
      </c>
      <c r="M127" s="1359">
        <v>80.167000000000002</v>
      </c>
      <c r="N127" s="1359">
        <v>2.1999999999999999E-2</v>
      </c>
      <c r="O127" s="1359">
        <v>2.5999999999999999E-2</v>
      </c>
      <c r="P127" s="1359">
        <v>0.13</v>
      </c>
      <c r="Q127" s="557">
        <v>2</v>
      </c>
      <c r="R127" s="9"/>
      <c r="S127" s="733"/>
      <c r="T127" s="4"/>
      <c r="U127" s="9"/>
      <c r="V127" s="153"/>
      <c r="W127" s="153"/>
      <c r="X127" s="805"/>
      <c r="AE127" s="153"/>
      <c r="AJ127" s="708"/>
      <c r="AK127" s="708"/>
      <c r="AL127" s="708"/>
      <c r="AM127" s="708"/>
      <c r="AN127" s="708"/>
      <c r="AO127" s="708"/>
      <c r="AP127" s="708"/>
      <c r="AQ127" s="708"/>
      <c r="AR127" s="708"/>
      <c r="AS127" s="708"/>
      <c r="AU127" s="32"/>
      <c r="AV127" s="4"/>
      <c r="AW127" s="8"/>
      <c r="AX127" s="8"/>
      <c r="AY127" s="8"/>
      <c r="BB127" s="4"/>
      <c r="BC127" s="4"/>
      <c r="BD127" s="22"/>
    </row>
    <row r="128" spans="2:56" ht="12.75" customHeight="1">
      <c r="B128" s="1272" t="s">
        <v>17</v>
      </c>
      <c r="C128" s="560" t="s">
        <v>113</v>
      </c>
      <c r="D128" s="561">
        <v>210</v>
      </c>
      <c r="E128" s="2411">
        <v>6.95</v>
      </c>
      <c r="F128" s="1359">
        <v>0.21</v>
      </c>
      <c r="G128" s="1359">
        <v>0.35032999999999997</v>
      </c>
      <c r="H128" s="1384">
        <v>150.19999999999999</v>
      </c>
      <c r="I128" s="1359">
        <v>119.4</v>
      </c>
      <c r="J128" s="1359">
        <v>151.66999999999999</v>
      </c>
      <c r="K128" s="1359">
        <v>22.03</v>
      </c>
      <c r="L128" s="1359">
        <v>3.14</v>
      </c>
      <c r="M128" s="1359">
        <v>91.86</v>
      </c>
      <c r="N128" s="1359">
        <v>0</v>
      </c>
      <c r="O128" s="1359">
        <v>0.01</v>
      </c>
      <c r="P128" s="2393">
        <v>0.84</v>
      </c>
      <c r="Q128" s="580">
        <v>56</v>
      </c>
      <c r="S128" s="32"/>
      <c r="T128" s="4"/>
      <c r="U128" s="8"/>
      <c r="V128" s="44"/>
      <c r="W128" s="222"/>
      <c r="X128" s="805"/>
      <c r="AE128" s="153"/>
      <c r="AF128" s="30"/>
      <c r="AG128" s="32"/>
      <c r="AH128" s="4"/>
      <c r="AI128" s="66"/>
      <c r="AJ128" s="44"/>
      <c r="AK128" s="44"/>
      <c r="AL128" s="152"/>
      <c r="AM128" s="111"/>
      <c r="AN128" s="44"/>
      <c r="AO128" s="383"/>
      <c r="AP128" s="153"/>
      <c r="AQ128" s="153"/>
      <c r="AR128" s="153"/>
      <c r="AS128" s="153"/>
      <c r="AT128" s="153"/>
      <c r="AU128" s="153"/>
      <c r="AV128" s="153"/>
      <c r="AX128" s="8"/>
      <c r="AY128" s="8"/>
      <c r="BB128" s="13"/>
      <c r="BC128" s="13"/>
      <c r="BD128" s="22"/>
    </row>
    <row r="129" spans="2:56" ht="13.5" customHeight="1">
      <c r="B129" s="2290" t="s">
        <v>947</v>
      </c>
      <c r="C129" s="556" t="s">
        <v>219</v>
      </c>
      <c r="D129" s="561">
        <v>200</v>
      </c>
      <c r="E129" s="2392">
        <v>0.11600000000000001</v>
      </c>
      <c r="F129" s="380">
        <v>0</v>
      </c>
      <c r="G129" s="380">
        <v>0</v>
      </c>
      <c r="H129" s="1384">
        <v>12</v>
      </c>
      <c r="I129" s="1359">
        <v>39.408999999999999</v>
      </c>
      <c r="J129" s="1359">
        <v>3.44</v>
      </c>
      <c r="K129" s="1359">
        <v>1.68</v>
      </c>
      <c r="L129" s="1359">
        <v>7.9000000000000001E-2</v>
      </c>
      <c r="M129" s="1359">
        <v>0.28000000000000003</v>
      </c>
      <c r="N129" s="1359">
        <v>0</v>
      </c>
      <c r="O129" s="1359">
        <v>0</v>
      </c>
      <c r="P129" s="2393">
        <v>0</v>
      </c>
      <c r="Q129" s="557">
        <v>77</v>
      </c>
      <c r="S129" s="32"/>
      <c r="T129" s="4"/>
      <c r="U129" s="66"/>
      <c r="V129" s="44"/>
      <c r="W129" s="44"/>
      <c r="X129" s="789"/>
      <c r="AE129" s="153"/>
      <c r="AF129" s="39"/>
      <c r="AG129" s="55"/>
      <c r="AH129" s="46"/>
      <c r="AI129" s="6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X129" s="8"/>
      <c r="AY129" s="8"/>
      <c r="BB129" s="13"/>
      <c r="BC129" s="13"/>
      <c r="BD129" s="22"/>
    </row>
    <row r="130" spans="2:56" ht="13.5" customHeight="1">
      <c r="B130" s="1272" t="s">
        <v>10</v>
      </c>
      <c r="C130" s="560" t="s">
        <v>11</v>
      </c>
      <c r="D130" s="561">
        <v>60</v>
      </c>
      <c r="E130" s="2392">
        <v>0.12</v>
      </c>
      <c r="F130" s="380">
        <v>0.02</v>
      </c>
      <c r="G130" s="380">
        <v>0.02</v>
      </c>
      <c r="H130" s="1298">
        <v>0</v>
      </c>
      <c r="I130" s="1359">
        <v>95</v>
      </c>
      <c r="J130" s="1359">
        <v>77.400000000000006</v>
      </c>
      <c r="K130" s="1359">
        <v>24.6</v>
      </c>
      <c r="L130" s="2393">
        <v>0.06</v>
      </c>
      <c r="M130" s="2469">
        <v>44.6</v>
      </c>
      <c r="N130" s="1359">
        <v>0</v>
      </c>
      <c r="O130" s="1359">
        <v>0</v>
      </c>
      <c r="P130" s="1359">
        <v>0</v>
      </c>
      <c r="Q130" s="557">
        <v>11</v>
      </c>
      <c r="R130" s="1"/>
      <c r="S130" s="63"/>
      <c r="T130" s="4"/>
      <c r="V130" s="44"/>
      <c r="W130" s="44"/>
      <c r="X130" s="789"/>
      <c r="AE130" s="48"/>
      <c r="AF130" s="32"/>
      <c r="AG130" s="30"/>
      <c r="AH130" s="4"/>
      <c r="AI130" s="9"/>
      <c r="AU130" s="117"/>
      <c r="AX130" s="8"/>
      <c r="AY130" s="8"/>
      <c r="BB130" s="16"/>
      <c r="BC130" s="4"/>
      <c r="BD130" s="8"/>
    </row>
    <row r="131" spans="2:56" ht="12.75" customHeight="1" thickBot="1">
      <c r="B131" s="1352" t="s">
        <v>10</v>
      </c>
      <c r="C131" s="573" t="s">
        <v>792</v>
      </c>
      <c r="D131" s="574">
        <v>40</v>
      </c>
      <c r="E131" s="2402">
        <v>0</v>
      </c>
      <c r="F131" s="381">
        <v>0.08</v>
      </c>
      <c r="G131" s="381">
        <v>0</v>
      </c>
      <c r="H131" s="1298">
        <v>0</v>
      </c>
      <c r="I131" s="242">
        <v>33.200000000000003</v>
      </c>
      <c r="J131" s="242">
        <v>60.54</v>
      </c>
      <c r="K131" s="242">
        <v>19.68</v>
      </c>
      <c r="L131" s="242">
        <v>0.04</v>
      </c>
      <c r="M131" s="1359">
        <v>57.6</v>
      </c>
      <c r="N131" s="1359">
        <v>1E-3</v>
      </c>
      <c r="O131" s="1359">
        <v>0</v>
      </c>
      <c r="P131" s="2412">
        <v>0</v>
      </c>
      <c r="Q131" s="589">
        <v>12</v>
      </c>
      <c r="S131" s="44"/>
      <c r="T131" s="4"/>
      <c r="U131" s="9"/>
      <c r="V131" s="792"/>
      <c r="W131" s="793"/>
      <c r="X131" s="2310"/>
      <c r="Y131" s="210"/>
      <c r="Z131" s="22"/>
      <c r="AG131" s="30"/>
      <c r="AH131" s="4"/>
      <c r="AI131" s="8"/>
      <c r="AU131" s="45"/>
      <c r="AV131" s="4"/>
      <c r="AW131" s="8"/>
      <c r="AX131" s="14"/>
      <c r="AY131" s="14"/>
      <c r="BB131" s="13"/>
      <c r="BC131" s="13"/>
      <c r="BD131" s="22"/>
    </row>
    <row r="132" spans="2:56" ht="15.75">
      <c r="B132" s="565" t="s">
        <v>283</v>
      </c>
      <c r="C132" s="168"/>
      <c r="D132" s="2297">
        <f>SUM(D127:D131)</f>
        <v>575</v>
      </c>
      <c r="E132" s="566">
        <f>SUM(E127:E131)</f>
        <v>23.436</v>
      </c>
      <c r="F132" s="1353">
        <f>SUM(F127:F131)</f>
        <v>0.3533</v>
      </c>
      <c r="G132" s="243">
        <f>SUM(G127:G131)</f>
        <v>0.39200000000000002</v>
      </c>
      <c r="H132" s="243">
        <f t="shared" ref="H132:P132" si="12">SUM(H127:H131)</f>
        <v>248.64999999999998</v>
      </c>
      <c r="I132" s="243">
        <f>SUM(I127:I131)</f>
        <v>296.10899999999998</v>
      </c>
      <c r="J132" s="243">
        <f t="shared" si="12"/>
        <v>310.38</v>
      </c>
      <c r="K132" s="243">
        <f t="shared" si="12"/>
        <v>80.990000000000009</v>
      </c>
      <c r="L132" s="243">
        <f t="shared" si="12"/>
        <v>3.9040000000000004</v>
      </c>
      <c r="M132" s="243">
        <f t="shared" si="12"/>
        <v>274.50700000000001</v>
      </c>
      <c r="N132" s="243">
        <f>SUM(N127:N131)</f>
        <v>2.3E-2</v>
      </c>
      <c r="O132" s="243">
        <f t="shared" si="12"/>
        <v>3.5999999999999997E-2</v>
      </c>
      <c r="P132" s="1024">
        <f t="shared" si="12"/>
        <v>0.97</v>
      </c>
      <c r="Q132" s="1321"/>
      <c r="S132" s="44"/>
      <c r="T132" s="4"/>
      <c r="U132" s="9"/>
      <c r="V132" s="1289"/>
      <c r="W132" s="1289"/>
      <c r="X132" s="1289"/>
      <c r="Y132" s="1029"/>
      <c r="Z132" s="1"/>
      <c r="AE132" s="153"/>
      <c r="AF132" s="32"/>
      <c r="AJ132" s="20"/>
      <c r="AK132" s="363"/>
      <c r="AM132" s="20"/>
      <c r="AN132" s="20"/>
      <c r="AP132" s="43"/>
      <c r="AT132" s="13"/>
      <c r="AU132" s="44"/>
      <c r="AV132" s="4"/>
      <c r="AW132" s="8"/>
      <c r="AX132" s="14"/>
      <c r="AY132" s="14"/>
      <c r="BB132" s="4"/>
      <c r="BC132" s="4"/>
      <c r="BD132" s="8"/>
    </row>
    <row r="133" spans="2:56" ht="13.5" customHeight="1">
      <c r="B133" s="1343"/>
      <c r="C133" s="1344" t="s">
        <v>12</v>
      </c>
      <c r="D133" s="2261">
        <v>0.25</v>
      </c>
      <c r="E133" s="1398">
        <v>17.5</v>
      </c>
      <c r="F133" s="2413">
        <v>0.35</v>
      </c>
      <c r="G133" s="1399">
        <v>0.4</v>
      </c>
      <c r="H133" s="1345">
        <v>225</v>
      </c>
      <c r="I133" s="2413">
        <v>300</v>
      </c>
      <c r="J133" s="1399">
        <v>300</v>
      </c>
      <c r="K133" s="1345">
        <v>75</v>
      </c>
      <c r="L133" s="2413">
        <v>4.5</v>
      </c>
      <c r="M133" s="1346">
        <v>300</v>
      </c>
      <c r="N133" s="2413">
        <v>2.5000000000000001E-2</v>
      </c>
      <c r="O133" s="1399">
        <v>1.2500000000000001E-2</v>
      </c>
      <c r="P133" s="1460">
        <v>1</v>
      </c>
      <c r="Q133" s="1321"/>
      <c r="T133" s="40"/>
      <c r="V133" s="1"/>
      <c r="W133" s="1"/>
      <c r="X133" s="1"/>
      <c r="Y133" s="1"/>
      <c r="Z133" s="1"/>
      <c r="AE133" s="153"/>
      <c r="AF133" s="32"/>
      <c r="AU133" s="32"/>
      <c r="AV133" s="4"/>
      <c r="AW133" s="8"/>
      <c r="AY133" s="8"/>
      <c r="BB133" s="4"/>
      <c r="BD133" s="46"/>
    </row>
    <row r="134" spans="2:56" ht="16.5" customHeight="1" thickBot="1">
      <c r="B134" s="57"/>
      <c r="C134" s="1347" t="s">
        <v>940</v>
      </c>
      <c r="D134" s="2269" t="s">
        <v>280</v>
      </c>
      <c r="E134" s="2265">
        <f>(E132*100/E154)-25</f>
        <v>8.4799999999999969</v>
      </c>
      <c r="F134" s="2266">
        <f t="shared" ref="F134:P134" si="13">(F132*100/F154)-25</f>
        <v>0.23571428571428754</v>
      </c>
      <c r="G134" s="2266">
        <f t="shared" si="13"/>
        <v>-0.5</v>
      </c>
      <c r="H134" s="2266">
        <f t="shared" si="13"/>
        <v>2.6277777777777729</v>
      </c>
      <c r="I134" s="2266">
        <f t="shared" si="13"/>
        <v>-0.32425000000000281</v>
      </c>
      <c r="J134" s="2266">
        <f t="shared" si="13"/>
        <v>0.86499999999999844</v>
      </c>
      <c r="K134" s="2266">
        <f t="shared" si="13"/>
        <v>1.9966666666666697</v>
      </c>
      <c r="L134" s="2266">
        <f t="shared" si="13"/>
        <v>-3.31111111111111</v>
      </c>
      <c r="M134" s="2266">
        <f t="shared" si="13"/>
        <v>-2.1244166666666651</v>
      </c>
      <c r="N134" s="2266">
        <f t="shared" si="13"/>
        <v>-2.0000000000000036</v>
      </c>
      <c r="O134" s="2266">
        <f>(O132*100/O154)-25</f>
        <v>46.999999999999986</v>
      </c>
      <c r="P134" s="2267">
        <f t="shared" si="13"/>
        <v>-0.75</v>
      </c>
      <c r="Q134" s="1321"/>
      <c r="S134" s="1481"/>
      <c r="T134" s="40"/>
      <c r="U134" s="1140"/>
      <c r="V134" s="44"/>
      <c r="W134" s="44"/>
      <c r="X134" s="789"/>
      <c r="AE134" s="153"/>
      <c r="AF134" s="32"/>
      <c r="AJ134" s="20"/>
      <c r="AK134" s="20"/>
      <c r="AM134" s="20"/>
      <c r="AN134" s="20"/>
      <c r="AP134" s="4"/>
      <c r="AU134" s="32"/>
      <c r="AV134" s="4"/>
      <c r="AW134" s="46"/>
      <c r="AY134" s="8"/>
      <c r="BB134" s="4"/>
      <c r="BC134" s="4"/>
      <c r="BD134" s="8"/>
    </row>
    <row r="135" spans="2:56" ht="16.5" customHeight="1">
      <c r="B135" s="99"/>
      <c r="C135" s="542" t="s">
        <v>152</v>
      </c>
      <c r="D135" s="99"/>
      <c r="E135" s="743"/>
      <c r="F135" s="2270"/>
      <c r="G135" s="2270"/>
      <c r="H135" s="2270"/>
      <c r="I135" s="1414"/>
      <c r="J135" s="1414"/>
      <c r="K135" s="1414"/>
      <c r="L135" s="1414"/>
      <c r="M135" s="1414"/>
      <c r="N135" s="1414"/>
      <c r="O135" s="1414"/>
      <c r="P135" s="1415"/>
      <c r="Q135" s="1321"/>
      <c r="R135" s="9"/>
      <c r="S135" s="63"/>
      <c r="T135" s="169"/>
      <c r="V135" s="153"/>
      <c r="W135" s="153"/>
      <c r="X135" s="789"/>
      <c r="AA135" s="152"/>
      <c r="AB135" s="152"/>
      <c r="AC135" s="152"/>
      <c r="AD135" s="152"/>
      <c r="AE135" s="153"/>
      <c r="AF135" s="32"/>
      <c r="AG135" s="364"/>
      <c r="AH135" s="365"/>
      <c r="AI135" s="366"/>
      <c r="AJ135" s="367"/>
      <c r="AK135" s="42"/>
      <c r="AL135" s="42"/>
      <c r="AM135" s="42"/>
      <c r="AN135" s="42"/>
      <c r="AO135" s="42"/>
      <c r="AP135" s="42"/>
      <c r="AQ135" s="364"/>
      <c r="AR135" s="364"/>
      <c r="AS135" s="698"/>
      <c r="AU135" s="32"/>
      <c r="AV135" s="4"/>
      <c r="AW135" s="8"/>
      <c r="AX135" s="8"/>
      <c r="AY135" s="8"/>
      <c r="BB135" s="4"/>
      <c r="BC135" s="4"/>
      <c r="BD135" s="46"/>
    </row>
    <row r="136" spans="2:56" ht="12.75" customHeight="1">
      <c r="B136" s="1387" t="s">
        <v>631</v>
      </c>
      <c r="C136" s="556" t="s">
        <v>619</v>
      </c>
      <c r="D136" s="1032">
        <v>60</v>
      </c>
      <c r="E136" s="2392">
        <v>3.23</v>
      </c>
      <c r="F136" s="380">
        <v>0.03</v>
      </c>
      <c r="G136" s="380">
        <v>0.03</v>
      </c>
      <c r="H136" s="1298">
        <v>560.21</v>
      </c>
      <c r="I136" s="1359">
        <v>18.100000000000001</v>
      </c>
      <c r="J136" s="1359">
        <v>37.700000000000003</v>
      </c>
      <c r="K136" s="1359">
        <v>23</v>
      </c>
      <c r="L136" s="1359">
        <v>0.65</v>
      </c>
      <c r="M136" s="1359">
        <v>37.450000000000003</v>
      </c>
      <c r="N136" s="1359">
        <v>1.0999999999999999E-2</v>
      </c>
      <c r="O136" s="1359">
        <v>0</v>
      </c>
      <c r="P136" s="2393">
        <v>0.09</v>
      </c>
      <c r="Q136" s="572">
        <v>5</v>
      </c>
      <c r="R136" s="9"/>
      <c r="S136" s="55"/>
      <c r="T136" s="4"/>
      <c r="U136" s="9"/>
      <c r="V136" s="430"/>
      <c r="W136" s="430"/>
      <c r="X136" s="789"/>
      <c r="AA136" s="44"/>
      <c r="AB136" s="44"/>
      <c r="AC136" s="44"/>
      <c r="AD136" s="44"/>
      <c r="AE136" s="153"/>
      <c r="AF136" s="32"/>
      <c r="AG136" s="49"/>
      <c r="AH136" s="49"/>
      <c r="AI136" s="49"/>
      <c r="AJ136" s="368"/>
      <c r="AK136" s="49"/>
      <c r="AL136" s="49"/>
      <c r="AM136" s="49"/>
      <c r="AN136" s="49"/>
      <c r="AO136" s="49"/>
      <c r="AP136" s="49"/>
      <c r="AQ136" s="49"/>
      <c r="AR136" s="49"/>
      <c r="AS136" s="49"/>
      <c r="AU136" s="32"/>
      <c r="AV136" s="4"/>
      <c r="AW136" s="8"/>
      <c r="AX136" s="8"/>
      <c r="AY136" s="8"/>
      <c r="BB136" s="4"/>
      <c r="BC136" s="4"/>
      <c r="BD136" s="22"/>
    </row>
    <row r="137" spans="2:56" ht="12.75" customHeight="1">
      <c r="B137" s="2290" t="s">
        <v>948</v>
      </c>
      <c r="C137" s="594" t="s">
        <v>378</v>
      </c>
      <c r="D137" s="588">
        <v>250</v>
      </c>
      <c r="E137" s="2399">
        <v>0.8</v>
      </c>
      <c r="F137" s="1294">
        <v>0.186</v>
      </c>
      <c r="G137" s="1294">
        <v>0.15</v>
      </c>
      <c r="H137" s="1384">
        <v>36.375</v>
      </c>
      <c r="I137" s="1359">
        <v>58.28</v>
      </c>
      <c r="J137" s="1359">
        <v>35.075000000000003</v>
      </c>
      <c r="K137" s="1359">
        <v>5.0199999999999996</v>
      </c>
      <c r="L137" s="1359">
        <v>1</v>
      </c>
      <c r="M137" s="1359">
        <v>58.838000000000001</v>
      </c>
      <c r="N137" s="1359">
        <v>3.0000000000000001E-3</v>
      </c>
      <c r="O137" s="1359">
        <v>0</v>
      </c>
      <c r="P137" s="2393">
        <v>6.0999999999999999E-2</v>
      </c>
      <c r="Q137" s="776">
        <v>21</v>
      </c>
      <c r="R137" s="9"/>
      <c r="S137" s="2281"/>
      <c r="T137" s="4"/>
      <c r="U137" s="150"/>
      <c r="V137" s="44"/>
      <c r="W137" s="44"/>
      <c r="X137" s="789"/>
      <c r="AA137" s="44"/>
      <c r="AB137" s="44"/>
      <c r="AC137" s="44"/>
      <c r="AD137" s="44"/>
      <c r="AE137" s="153"/>
      <c r="AF137" s="32"/>
      <c r="AG137" s="44"/>
      <c r="AH137" s="44"/>
      <c r="AI137" s="44"/>
      <c r="AJ137" s="111"/>
      <c r="AK137" s="44"/>
      <c r="AL137" s="44"/>
      <c r="AM137" s="44"/>
      <c r="AN137" s="44"/>
      <c r="AO137" s="44"/>
      <c r="AP137" s="44"/>
      <c r="AQ137" s="44"/>
      <c r="AR137" s="44"/>
      <c r="AS137" s="153"/>
      <c r="AU137" s="30"/>
      <c r="AV137" s="4"/>
      <c r="AW137" s="8"/>
      <c r="AY137" s="8"/>
      <c r="BB137" s="4"/>
      <c r="BC137" s="4"/>
      <c r="BD137" s="8"/>
    </row>
    <row r="138" spans="2:56" ht="13.5" customHeight="1">
      <c r="B138" s="2294" t="s">
        <v>820</v>
      </c>
      <c r="C138" s="595" t="s">
        <v>415</v>
      </c>
      <c r="D138" s="551">
        <v>190</v>
      </c>
      <c r="E138" s="1276">
        <v>0</v>
      </c>
      <c r="F138" s="1294">
        <v>0.06</v>
      </c>
      <c r="G138" s="2400">
        <v>0.152</v>
      </c>
      <c r="H138" s="1388">
        <v>101.545</v>
      </c>
      <c r="I138" s="1359">
        <v>26.3</v>
      </c>
      <c r="J138" s="1359">
        <v>36.265000000000001</v>
      </c>
      <c r="K138" s="1359">
        <v>2.41</v>
      </c>
      <c r="L138" s="1359">
        <v>1.97</v>
      </c>
      <c r="M138" s="1359">
        <v>36.462000000000003</v>
      </c>
      <c r="N138" s="1359">
        <v>8.0000000000000002E-3</v>
      </c>
      <c r="O138" s="1359">
        <v>1.2E-2</v>
      </c>
      <c r="P138" s="2393">
        <v>0.80700000000000005</v>
      </c>
      <c r="Q138" s="598">
        <v>49</v>
      </c>
      <c r="R138" s="1"/>
      <c r="S138" s="2281"/>
      <c r="T138" s="4"/>
      <c r="U138" s="9"/>
      <c r="V138" s="44"/>
      <c r="W138" s="44"/>
      <c r="X138" s="789"/>
      <c r="AA138" s="458"/>
      <c r="AB138" s="214"/>
      <c r="AC138" s="46"/>
      <c r="AD138" s="46"/>
      <c r="AE138" s="48"/>
      <c r="AF138" s="30"/>
      <c r="AG138" s="705"/>
      <c r="AH138" s="705"/>
      <c r="AI138" s="705"/>
      <c r="AJ138" s="713"/>
      <c r="AK138" s="705"/>
      <c r="AL138" s="705"/>
      <c r="AM138" s="705"/>
      <c r="AN138" s="705"/>
      <c r="AO138" s="706"/>
      <c r="AP138" s="706"/>
      <c r="AQ138" s="705"/>
      <c r="AR138" s="705"/>
      <c r="AS138" s="705"/>
      <c r="AY138" s="8"/>
      <c r="BB138" s="4"/>
      <c r="BC138" s="4"/>
      <c r="BD138" s="8"/>
    </row>
    <row r="139" spans="2:56" ht="15" customHeight="1">
      <c r="B139" s="1530" t="s">
        <v>821</v>
      </c>
      <c r="C139" s="556" t="s">
        <v>339</v>
      </c>
      <c r="D139" s="561">
        <v>200</v>
      </c>
      <c r="E139" s="2392">
        <v>1.1419999999999999</v>
      </c>
      <c r="F139" s="380">
        <v>6.59E-2</v>
      </c>
      <c r="G139" s="380">
        <v>0.27239999999999998</v>
      </c>
      <c r="H139" s="1384">
        <v>29.056000000000001</v>
      </c>
      <c r="I139" s="2401">
        <v>237.708</v>
      </c>
      <c r="J139" s="1359">
        <v>194.72</v>
      </c>
      <c r="K139" s="1359">
        <v>41.465000000000003</v>
      </c>
      <c r="L139" s="1359">
        <v>0.33600000000000002</v>
      </c>
      <c r="M139" s="1359">
        <v>121.70699999999999</v>
      </c>
      <c r="N139" s="1359">
        <v>1E-3</v>
      </c>
      <c r="O139" s="1359">
        <v>3.0000000000000001E-3</v>
      </c>
      <c r="P139" s="2393">
        <v>0.16900000000000001</v>
      </c>
      <c r="Q139" s="572">
        <v>87</v>
      </c>
      <c r="R139" s="8"/>
      <c r="S139" s="2282"/>
      <c r="T139" s="4"/>
      <c r="U139" s="9"/>
      <c r="V139" s="44"/>
      <c r="W139" s="44"/>
      <c r="X139" s="789"/>
      <c r="AA139" s="714"/>
      <c r="AB139" s="434"/>
      <c r="AC139" s="434"/>
      <c r="AD139" s="435"/>
      <c r="AE139" s="435"/>
      <c r="AF139" s="39"/>
      <c r="AV139" s="40"/>
      <c r="AX139" s="708"/>
      <c r="AY139" s="8"/>
    </row>
    <row r="140" spans="2:56" ht="14.25" customHeight="1">
      <c r="B140" s="1272" t="s">
        <v>10</v>
      </c>
      <c r="C140" s="556" t="s">
        <v>11</v>
      </c>
      <c r="D140" s="561">
        <v>70</v>
      </c>
      <c r="E140" s="2392">
        <v>0.14000000000000001</v>
      </c>
      <c r="F140" s="380">
        <v>2.5000000000000001E-2</v>
      </c>
      <c r="G140" s="380">
        <v>2.3E-2</v>
      </c>
      <c r="H140" s="1298">
        <v>0</v>
      </c>
      <c r="I140" s="2498">
        <v>110.01300000000001</v>
      </c>
      <c r="J140" s="1359">
        <v>90.3</v>
      </c>
      <c r="K140" s="1359">
        <v>28.7</v>
      </c>
      <c r="L140" s="2393">
        <v>7.0000000000000007E-2</v>
      </c>
      <c r="M140" s="2469">
        <v>52.03</v>
      </c>
      <c r="N140" s="1359">
        <v>0</v>
      </c>
      <c r="O140" s="1359">
        <v>0</v>
      </c>
      <c r="P140" s="1359">
        <v>0</v>
      </c>
      <c r="Q140" s="557">
        <v>11</v>
      </c>
      <c r="S140" s="32"/>
      <c r="T140" s="4"/>
      <c r="U140" s="9"/>
      <c r="V140" s="152"/>
      <c r="W140" s="44"/>
      <c r="X140" s="789"/>
      <c r="AA140" s="432"/>
      <c r="AB140" s="432"/>
      <c r="AC140" s="437"/>
      <c r="AD140" s="437"/>
      <c r="AE140" s="438"/>
      <c r="AF140" s="9"/>
      <c r="AP140" s="43"/>
      <c r="AR140" s="43"/>
      <c r="AV140" s="40"/>
      <c r="AX140" s="8"/>
      <c r="AY140" s="8"/>
    </row>
    <row r="141" spans="2:56" ht="13.5" customHeight="1">
      <c r="B141" s="1272" t="s">
        <v>10</v>
      </c>
      <c r="C141" s="556" t="s">
        <v>792</v>
      </c>
      <c r="D141" s="551">
        <v>50</v>
      </c>
      <c r="E141" s="2402">
        <v>0</v>
      </c>
      <c r="F141" s="381">
        <v>0.1</v>
      </c>
      <c r="G141" s="381">
        <v>0</v>
      </c>
      <c r="H141" s="1465">
        <v>0</v>
      </c>
      <c r="I141" s="242">
        <v>41.5</v>
      </c>
      <c r="J141" s="242">
        <v>75.98</v>
      </c>
      <c r="K141" s="242">
        <v>22.8</v>
      </c>
      <c r="L141" s="242">
        <v>0.05</v>
      </c>
      <c r="M141" s="1359">
        <v>72</v>
      </c>
      <c r="N141" s="1359">
        <v>1.25E-3</v>
      </c>
      <c r="O141" s="1359">
        <v>0</v>
      </c>
      <c r="P141" s="2412">
        <v>0</v>
      </c>
      <c r="Q141" s="557">
        <v>12</v>
      </c>
      <c r="S141" s="32"/>
      <c r="T141" s="4"/>
      <c r="U141" s="9"/>
      <c r="V141" s="792"/>
      <c r="W141" s="793"/>
      <c r="X141" s="2310"/>
      <c r="Y141" s="210"/>
      <c r="Z141" s="22"/>
      <c r="AA141" s="1"/>
      <c r="AB141" s="1"/>
      <c r="AC141" s="1"/>
      <c r="AD141" s="1"/>
      <c r="AF141" s="32"/>
      <c r="AJ141" s="715"/>
      <c r="AR141" s="43"/>
      <c r="AW141" s="1"/>
      <c r="AX141" s="1"/>
      <c r="AY141" s="1"/>
    </row>
    <row r="142" spans="2:56" ht="17.25" customHeight="1" thickBot="1">
      <c r="B142" s="2560" t="s">
        <v>1004</v>
      </c>
      <c r="C142" s="563" t="s">
        <v>1003</v>
      </c>
      <c r="D142" s="574">
        <v>120</v>
      </c>
      <c r="E142" s="1416">
        <v>12</v>
      </c>
      <c r="F142" s="1370">
        <v>2.5999999999999999E-2</v>
      </c>
      <c r="G142" s="1370">
        <v>2.4E-2</v>
      </c>
      <c r="H142" s="2403">
        <v>6</v>
      </c>
      <c r="I142" s="2428">
        <v>19.2</v>
      </c>
      <c r="J142" s="2428">
        <v>13.2</v>
      </c>
      <c r="K142" s="2427">
        <v>10.8</v>
      </c>
      <c r="L142" s="2428">
        <v>2.3199999999999998</v>
      </c>
      <c r="M142" s="2428">
        <v>63.48</v>
      </c>
      <c r="N142" s="2428">
        <v>1.2E-2</v>
      </c>
      <c r="O142" s="2428">
        <v>0</v>
      </c>
      <c r="P142" s="2429">
        <v>0.32400000000000001</v>
      </c>
      <c r="Q142" s="627">
        <v>73</v>
      </c>
      <c r="S142" s="30"/>
      <c r="T142" s="4"/>
      <c r="U142" s="9"/>
      <c r="V142" s="1289"/>
      <c r="W142" s="1289"/>
      <c r="X142" s="1289"/>
      <c r="Y142" s="624"/>
      <c r="Z142" s="1"/>
      <c r="AA142" s="1"/>
      <c r="AB142" s="1"/>
      <c r="AC142" s="1"/>
      <c r="AD142" s="1"/>
      <c r="AF142" s="32"/>
      <c r="AG142" s="32"/>
      <c r="AH142" s="4"/>
      <c r="AI142" s="4"/>
      <c r="AJ142" s="8"/>
    </row>
    <row r="143" spans="2:56" ht="12.75" customHeight="1">
      <c r="B143" s="565" t="s">
        <v>269</v>
      </c>
      <c r="C143" s="2299"/>
      <c r="D143" s="2300">
        <f>SUM(D136:D142)</f>
        <v>940</v>
      </c>
      <c r="E143" s="575">
        <f>SUM(E136:E142)</f>
        <v>17.312000000000001</v>
      </c>
      <c r="F143" s="1353">
        <f>SUM(F136:F142)</f>
        <v>0.49290000000000012</v>
      </c>
      <c r="G143" s="1353">
        <f>SUM(G136:G142)</f>
        <v>0.65139999999999998</v>
      </c>
      <c r="H143" s="1389">
        <f>SUM(H136:H142)</f>
        <v>733.18600000000004</v>
      </c>
      <c r="I143" s="1389">
        <f t="shared" ref="I143:O143" si="14">SUM(I136:I142)</f>
        <v>511.10099999999994</v>
      </c>
      <c r="J143" s="1389">
        <f t="shared" si="14"/>
        <v>483.24</v>
      </c>
      <c r="K143" s="1389">
        <f t="shared" si="14"/>
        <v>134.19500000000002</v>
      </c>
      <c r="L143" s="1389">
        <f t="shared" si="14"/>
        <v>6.395999999999999</v>
      </c>
      <c r="M143" s="1389">
        <f t="shared" si="14"/>
        <v>441.96699999999998</v>
      </c>
      <c r="N143" s="1389">
        <f t="shared" si="14"/>
        <v>3.6250000000000004E-2</v>
      </c>
      <c r="O143" s="1389">
        <f t="shared" si="14"/>
        <v>1.4999999999999999E-2</v>
      </c>
      <c r="P143" s="1389">
        <f>SUM(P136:P142)</f>
        <v>1.4510000000000001</v>
      </c>
      <c r="Q143" s="1321"/>
      <c r="T143" s="40"/>
      <c r="V143" s="1"/>
      <c r="W143" s="1"/>
      <c r="X143" s="1"/>
      <c r="Y143" s="1"/>
      <c r="Z143" s="1"/>
      <c r="AA143" s="1"/>
      <c r="AB143" s="1"/>
      <c r="AC143" s="1"/>
      <c r="AD143" s="1"/>
      <c r="AF143" s="32"/>
      <c r="AG143" s="118"/>
      <c r="AH143" s="4"/>
      <c r="AI143" s="8"/>
      <c r="AJ143" s="111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2:56" ht="18" customHeight="1">
      <c r="B144" s="1343"/>
      <c r="C144" s="2298" t="s">
        <v>12</v>
      </c>
      <c r="D144" s="2291">
        <v>0.35</v>
      </c>
      <c r="E144" s="1355">
        <v>24.5</v>
      </c>
      <c r="F144" s="1365">
        <v>0.49</v>
      </c>
      <c r="G144" s="1364">
        <v>0.56000000000000005</v>
      </c>
      <c r="H144" s="1363">
        <v>315</v>
      </c>
      <c r="I144" s="1365">
        <v>420</v>
      </c>
      <c r="J144" s="1364">
        <v>420</v>
      </c>
      <c r="K144" s="1363">
        <v>105</v>
      </c>
      <c r="L144" s="1365">
        <v>6.3</v>
      </c>
      <c r="M144" s="1369">
        <v>420</v>
      </c>
      <c r="N144" s="1365">
        <v>3.5000000000000003E-2</v>
      </c>
      <c r="O144" s="1364">
        <v>1.7500000000000002E-2</v>
      </c>
      <c r="P144" s="1366">
        <v>1.4</v>
      </c>
      <c r="Q144" s="1321"/>
      <c r="R144" s="3"/>
      <c r="T144" s="40"/>
      <c r="V144" s="383"/>
      <c r="W144" s="383"/>
      <c r="X144" s="789"/>
      <c r="AA144" s="1"/>
      <c r="AB144" s="1"/>
      <c r="AC144" s="1"/>
      <c r="AD144" s="1"/>
      <c r="AF144" s="30"/>
      <c r="AH144" s="169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W144" s="62"/>
      <c r="AX144" s="62"/>
    </row>
    <row r="145" spans="2:52" ht="15.75" customHeight="1" thickBot="1">
      <c r="B145" s="237"/>
      <c r="C145" s="1347" t="s">
        <v>940</v>
      </c>
      <c r="D145" s="1348" t="s">
        <v>280</v>
      </c>
      <c r="E145" s="2271">
        <f>(E143*100/E154)-35</f>
        <v>-10.268571428571427</v>
      </c>
      <c r="F145" s="2272">
        <f t="shared" ref="F145:O145" si="15">(F143*100/F154)-35</f>
        <v>0.20714285714286973</v>
      </c>
      <c r="G145" s="2272">
        <f t="shared" si="15"/>
        <v>5.7124999999999986</v>
      </c>
      <c r="H145" s="2272">
        <f t="shared" si="15"/>
        <v>46.465111111111113</v>
      </c>
      <c r="I145" s="2272">
        <f t="shared" si="15"/>
        <v>7.5917499999999905</v>
      </c>
      <c r="J145" s="2272">
        <f t="shared" si="15"/>
        <v>5.2700000000000031</v>
      </c>
      <c r="K145" s="2272">
        <f t="shared" si="15"/>
        <v>9.7316666666666762</v>
      </c>
      <c r="L145" s="2272">
        <f t="shared" si="15"/>
        <v>0.53333333333333144</v>
      </c>
      <c r="M145" s="2272">
        <f t="shared" si="15"/>
        <v>1.8305833333333297</v>
      </c>
      <c r="N145" s="2272">
        <f t="shared" si="15"/>
        <v>1.25</v>
      </c>
      <c r="O145" s="2272">
        <f t="shared" si="15"/>
        <v>-5</v>
      </c>
      <c r="P145" s="2273">
        <f>(P143*100/P154)-35</f>
        <v>1.2749999999999986</v>
      </c>
      <c r="Q145" s="1358"/>
      <c r="R145" s="9"/>
      <c r="T145" s="40"/>
      <c r="V145" s="44"/>
      <c r="W145" s="44"/>
      <c r="X145" s="789"/>
      <c r="AA145" s="8"/>
      <c r="AB145" s="4"/>
      <c r="AC145" s="4"/>
      <c r="AD145" s="4"/>
      <c r="AE145" s="4"/>
      <c r="AF145" s="9"/>
      <c r="AG145" s="32"/>
      <c r="AH145" s="4"/>
      <c r="AI145" s="9"/>
      <c r="AW145" s="62"/>
    </row>
    <row r="146" spans="2:52">
      <c r="B146" s="600"/>
      <c r="C146" s="1090" t="s">
        <v>324</v>
      </c>
      <c r="D146" s="99"/>
      <c r="E146" s="814"/>
      <c r="F146" s="172"/>
      <c r="G146" s="172"/>
      <c r="H146" s="1390"/>
      <c r="I146" s="1391"/>
      <c r="J146" s="1392"/>
      <c r="K146" s="1392"/>
      <c r="L146" s="1392"/>
      <c r="M146" s="1392"/>
      <c r="N146" s="1392"/>
      <c r="O146" s="1392"/>
      <c r="P146" s="1393"/>
      <c r="Q146" s="1321"/>
      <c r="R146" s="9"/>
      <c r="T146" s="40"/>
      <c r="V146" s="44"/>
      <c r="W146" s="44"/>
      <c r="X146" s="805"/>
      <c r="AA146" s="9"/>
      <c r="AB146" s="9"/>
      <c r="AC146" s="9"/>
      <c r="AD146" s="9"/>
      <c r="AE146" s="9"/>
      <c r="AF146" s="32"/>
      <c r="AG146" s="32"/>
      <c r="AH146" s="13"/>
      <c r="AI146" s="150"/>
    </row>
    <row r="147" spans="2:52" ht="15" customHeight="1">
      <c r="B147" s="558" t="s">
        <v>325</v>
      </c>
      <c r="C147" s="556" t="s">
        <v>326</v>
      </c>
      <c r="D147" s="561">
        <v>200</v>
      </c>
      <c r="E147" s="2392">
        <v>1.4</v>
      </c>
      <c r="F147" s="384">
        <v>0.08</v>
      </c>
      <c r="G147" s="384">
        <v>0.02</v>
      </c>
      <c r="H147" s="1384">
        <v>40</v>
      </c>
      <c r="I147" s="1359">
        <v>240</v>
      </c>
      <c r="J147" s="1359">
        <v>180</v>
      </c>
      <c r="K147" s="1359">
        <v>28</v>
      </c>
      <c r="L147" s="1359">
        <v>0.2</v>
      </c>
      <c r="M147" s="1359">
        <v>92</v>
      </c>
      <c r="N147" s="2401">
        <v>0</v>
      </c>
      <c r="O147" s="1359">
        <v>0</v>
      </c>
      <c r="P147" s="2393">
        <v>0.33</v>
      </c>
      <c r="Q147" s="557">
        <v>95</v>
      </c>
      <c r="S147" s="1481"/>
      <c r="T147" s="40"/>
      <c r="U147" s="1140"/>
      <c r="V147" s="792"/>
      <c r="W147" s="793"/>
      <c r="X147" s="2310"/>
      <c r="Y147" s="210"/>
      <c r="Z147" s="22"/>
      <c r="AA147" s="1"/>
      <c r="AB147" s="1"/>
      <c r="AC147" s="1"/>
      <c r="AD147" s="1"/>
      <c r="AF147" s="117"/>
      <c r="AG147" s="385"/>
      <c r="AH147" s="13"/>
      <c r="AI147" s="3"/>
      <c r="AW147" s="716"/>
    </row>
    <row r="148" spans="2:52" ht="15" customHeight="1">
      <c r="B148" s="584" t="s">
        <v>501</v>
      </c>
      <c r="C148" s="1394" t="s">
        <v>486</v>
      </c>
      <c r="D148" s="561" t="s">
        <v>537</v>
      </c>
      <c r="E148" s="2392">
        <v>6.64</v>
      </c>
      <c r="F148" s="380">
        <v>0.10100000000000001</v>
      </c>
      <c r="G148" s="380">
        <v>0.13950000000000001</v>
      </c>
      <c r="H148" s="1384">
        <v>122.095</v>
      </c>
      <c r="I148" s="1359">
        <v>13.13</v>
      </c>
      <c r="J148" s="1359">
        <v>1.4</v>
      </c>
      <c r="K148" s="1359">
        <v>0.5</v>
      </c>
      <c r="L148" s="1359">
        <v>1.73</v>
      </c>
      <c r="M148" s="1359">
        <v>3.4000000000000002E-2</v>
      </c>
      <c r="N148" s="1359">
        <v>0.01</v>
      </c>
      <c r="O148" s="1359">
        <v>4.0000000000000001E-3</v>
      </c>
      <c r="P148" s="2393">
        <v>0.1</v>
      </c>
      <c r="Q148" s="557">
        <v>42</v>
      </c>
      <c r="R148" s="22"/>
      <c r="S148" s="63"/>
      <c r="T148" s="169"/>
      <c r="U148" s="3"/>
      <c r="V148" s="1289"/>
      <c r="W148" s="1289"/>
      <c r="X148" s="1289"/>
      <c r="Y148" s="1030"/>
      <c r="Z148" s="1"/>
      <c r="AA148" s="44"/>
      <c r="AB148" s="223"/>
      <c r="AC148" s="152"/>
      <c r="AD148" s="44"/>
      <c r="AE148" s="44"/>
      <c r="AF148" s="119"/>
      <c r="AG148" s="385"/>
      <c r="AH148" s="13"/>
      <c r="AI148" s="22"/>
      <c r="AX148" s="62"/>
    </row>
    <row r="149" spans="2:52" ht="16.5" customHeight="1" thickBot="1">
      <c r="B149" s="564" t="s">
        <v>10</v>
      </c>
      <c r="C149" s="563" t="s">
        <v>11</v>
      </c>
      <c r="D149" s="574">
        <v>40</v>
      </c>
      <c r="E149" s="2392">
        <v>0.08</v>
      </c>
      <c r="F149" s="380">
        <v>1.6E-2</v>
      </c>
      <c r="G149" s="380">
        <v>1.3299999999999999E-2</v>
      </c>
      <c r="H149" s="1298">
        <v>0</v>
      </c>
      <c r="I149" s="1359">
        <v>63.332999999999998</v>
      </c>
      <c r="J149" s="1359">
        <v>51.6</v>
      </c>
      <c r="K149" s="1359">
        <v>16.399999999999999</v>
      </c>
      <c r="L149" s="1359">
        <v>0.04</v>
      </c>
      <c r="M149" s="2498">
        <v>29.733000000000001</v>
      </c>
      <c r="N149" s="1359">
        <v>0</v>
      </c>
      <c r="O149" s="1359">
        <v>0</v>
      </c>
      <c r="P149" s="1359">
        <v>0</v>
      </c>
      <c r="Q149" s="1281">
        <v>11</v>
      </c>
      <c r="R149" s="9"/>
      <c r="S149" s="32"/>
      <c r="T149" s="4"/>
      <c r="U149" s="66"/>
      <c r="W149" s="721"/>
      <c r="X149" s="4"/>
      <c r="Y149" s="9"/>
      <c r="Z149" s="44"/>
      <c r="AA149" s="383"/>
      <c r="AB149" s="383"/>
      <c r="AC149" s="789"/>
      <c r="AD149" s="153"/>
      <c r="AE149" s="153"/>
      <c r="AF149" s="153"/>
      <c r="AG149" s="153"/>
      <c r="AH149" s="153"/>
      <c r="AI149" s="1511"/>
      <c r="AJ149" s="153"/>
      <c r="AK149" s="153"/>
      <c r="AL149" s="360"/>
    </row>
    <row r="150" spans="2:52" ht="14.25" customHeight="1">
      <c r="B150" s="2306" t="s">
        <v>357</v>
      </c>
      <c r="C150" s="2301"/>
      <c r="D150" s="2302">
        <f>D149+D147+90+30</f>
        <v>360</v>
      </c>
      <c r="E150" s="575">
        <f>SUM(E147:E149)</f>
        <v>8.1199999999999992</v>
      </c>
      <c r="F150" s="1353">
        <f>SUM(F147:F149)</f>
        <v>0.19700000000000001</v>
      </c>
      <c r="G150" s="576">
        <f>SUM(G147:G149)</f>
        <v>0.17280000000000001</v>
      </c>
      <c r="H150" s="1389">
        <f>SUM(H147:H149)</f>
        <v>162.095</v>
      </c>
      <c r="I150" s="1389">
        <f t="shared" ref="I150:P150" si="16">SUM(I147:I149)</f>
        <v>316.46299999999997</v>
      </c>
      <c r="J150" s="1389">
        <f t="shared" si="16"/>
        <v>233</v>
      </c>
      <c r="K150" s="1389">
        <f t="shared" si="16"/>
        <v>44.9</v>
      </c>
      <c r="L150" s="1389">
        <f t="shared" si="16"/>
        <v>1.97</v>
      </c>
      <c r="M150" s="1389">
        <f t="shared" si="16"/>
        <v>121.76700000000001</v>
      </c>
      <c r="N150" s="1389">
        <f t="shared" si="16"/>
        <v>0.01</v>
      </c>
      <c r="O150" s="1389">
        <f t="shared" si="16"/>
        <v>4.0000000000000001E-3</v>
      </c>
      <c r="P150" s="1405">
        <f t="shared" si="16"/>
        <v>0.43000000000000005</v>
      </c>
      <c r="Q150" s="105"/>
      <c r="R150" s="66"/>
      <c r="S150" s="32"/>
      <c r="T150" s="4"/>
      <c r="U150" s="9"/>
      <c r="AA150" s="44"/>
      <c r="AB150" s="44"/>
      <c r="AC150" s="44"/>
      <c r="AD150" s="44"/>
      <c r="AE150" s="153"/>
      <c r="AF150" s="32"/>
      <c r="AH150" s="40"/>
      <c r="AJ150" s="111"/>
    </row>
    <row r="151" spans="2:52" ht="12.75" customHeight="1">
      <c r="B151" s="61"/>
      <c r="C151" s="794" t="s">
        <v>12</v>
      </c>
      <c r="D151" s="2291">
        <v>0.1</v>
      </c>
      <c r="E151" s="1355">
        <v>7</v>
      </c>
      <c r="F151" s="1365">
        <v>0.14000000000000001</v>
      </c>
      <c r="G151" s="1364">
        <v>0.16</v>
      </c>
      <c r="H151" s="1363">
        <v>90</v>
      </c>
      <c r="I151" s="1365">
        <v>120</v>
      </c>
      <c r="J151" s="1364">
        <v>120</v>
      </c>
      <c r="K151" s="1363">
        <v>30</v>
      </c>
      <c r="L151" s="1365">
        <v>1.8</v>
      </c>
      <c r="M151" s="1369">
        <v>120</v>
      </c>
      <c r="N151" s="1365">
        <v>0.01</v>
      </c>
      <c r="O151" s="1364">
        <v>5.0000000000000001E-3</v>
      </c>
      <c r="P151" s="1366">
        <v>0.4</v>
      </c>
      <c r="Q151" s="105"/>
      <c r="R151" s="9"/>
      <c r="T151" s="4"/>
      <c r="AA151" s="44"/>
      <c r="AB151" s="44"/>
      <c r="AC151" s="44"/>
      <c r="AD151" s="44"/>
      <c r="AE151" s="153"/>
      <c r="AF151" s="32"/>
      <c r="AG151" s="63"/>
      <c r="AH151" s="169"/>
    </row>
    <row r="152" spans="2:52" ht="13.5" customHeight="1" thickBot="1">
      <c r="B152" s="237"/>
      <c r="C152" s="1347" t="s">
        <v>727</v>
      </c>
      <c r="D152" s="1348" t="s">
        <v>280</v>
      </c>
      <c r="E152" s="2265">
        <f>(E150*100/E154)-10</f>
        <v>1.5999999999999979</v>
      </c>
      <c r="F152" s="2266">
        <f t="shared" ref="F152:P152" si="17">(F150*100/F154)-10</f>
        <v>4.0714285714285712</v>
      </c>
      <c r="G152" s="2266">
        <f t="shared" si="17"/>
        <v>0.80000000000000071</v>
      </c>
      <c r="H152" s="2266">
        <f t="shared" si="17"/>
        <v>8.0105555555555554</v>
      </c>
      <c r="I152" s="2266">
        <f>(I150*100/I154)-10</f>
        <v>16.371916666666664</v>
      </c>
      <c r="J152" s="2266">
        <f t="shared" si="17"/>
        <v>9.4166666666666679</v>
      </c>
      <c r="K152" s="2266">
        <f t="shared" si="17"/>
        <v>4.9666666666666668</v>
      </c>
      <c r="L152" s="2266">
        <f t="shared" si="17"/>
        <v>0.94444444444444464</v>
      </c>
      <c r="M152" s="2266">
        <f t="shared" si="17"/>
        <v>0.14725000000000144</v>
      </c>
      <c r="N152" s="2266">
        <f t="shared" si="17"/>
        <v>0</v>
      </c>
      <c r="O152" s="2266">
        <f t="shared" si="17"/>
        <v>-2</v>
      </c>
      <c r="P152" s="2267">
        <f t="shared" si="17"/>
        <v>0.75000000000000178</v>
      </c>
      <c r="Q152" s="105"/>
      <c r="R152" s="9"/>
      <c r="S152" s="32"/>
      <c r="T152" s="4"/>
      <c r="U152" s="9"/>
      <c r="AA152" s="44"/>
      <c r="AB152" s="44"/>
      <c r="AC152" s="44"/>
      <c r="AD152" s="44"/>
      <c r="AE152" s="153"/>
      <c r="AF152" s="44"/>
      <c r="AG152" s="119"/>
      <c r="AH152" s="116"/>
      <c r="AI152" s="46"/>
      <c r="AJ152" s="207"/>
      <c r="AK152" s="45"/>
      <c r="AL152" s="4"/>
      <c r="AM152" s="9"/>
      <c r="AN152" s="44"/>
      <c r="AO152" s="44"/>
      <c r="AP152" s="44"/>
      <c r="AQ152" s="111"/>
      <c r="AR152" s="44"/>
      <c r="AS152" s="44"/>
      <c r="AT152" s="44"/>
      <c r="AU152" s="44"/>
      <c r="AV152" s="44"/>
      <c r="AW152" s="44"/>
      <c r="AX152" s="44"/>
      <c r="AY152" s="44"/>
      <c r="AZ152" s="153"/>
    </row>
    <row r="153" spans="2:52" ht="15.75" thickBot="1"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105"/>
      <c r="R153" s="1"/>
      <c r="T153" s="40"/>
      <c r="V153" s="204"/>
      <c r="W153" s="46"/>
      <c r="X153" s="46"/>
      <c r="Y153" s="46"/>
      <c r="Z153" s="46"/>
      <c r="AA153" s="46"/>
      <c r="AB153" s="214"/>
      <c r="AC153" s="46"/>
      <c r="AD153" s="46"/>
      <c r="AE153" s="66"/>
      <c r="AF153" s="44"/>
      <c r="AG153" s="32"/>
      <c r="AH153" s="4"/>
      <c r="AI153" s="8"/>
    </row>
    <row r="154" spans="2:52" ht="13.5" customHeight="1" thickBot="1">
      <c r="B154" s="2369" t="s">
        <v>959</v>
      </c>
      <c r="C154" s="2262"/>
      <c r="D154" s="2263">
        <v>1</v>
      </c>
      <c r="E154" s="2407">
        <v>70</v>
      </c>
      <c r="F154" s="2408">
        <v>1.4</v>
      </c>
      <c r="G154" s="2408">
        <v>1.6</v>
      </c>
      <c r="H154" s="2264">
        <v>900</v>
      </c>
      <c r="I154" s="2405">
        <v>1200</v>
      </c>
      <c r="J154" s="2406">
        <v>1200</v>
      </c>
      <c r="K154" s="2406">
        <v>300</v>
      </c>
      <c r="L154" s="2409">
        <v>18</v>
      </c>
      <c r="M154" s="2405">
        <v>1200</v>
      </c>
      <c r="N154" s="2409">
        <v>0.1</v>
      </c>
      <c r="O154" s="2409">
        <v>0.05</v>
      </c>
      <c r="P154" s="2410">
        <v>4</v>
      </c>
      <c r="Q154" s="105"/>
      <c r="T154" s="40"/>
      <c r="V154" s="1"/>
      <c r="W154" s="1"/>
      <c r="X154" s="1"/>
      <c r="Y154" s="1"/>
      <c r="Z154" s="1"/>
      <c r="AA154" s="1"/>
      <c r="AB154" s="1"/>
      <c r="AC154" s="1"/>
      <c r="AD154" s="1"/>
      <c r="AF154" s="9"/>
      <c r="AG154" s="63"/>
      <c r="AH154" s="4"/>
    </row>
    <row r="155" spans="2:52" ht="16.5" customHeight="1" thickBot="1"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05"/>
      <c r="R155" s="9"/>
      <c r="T155" s="40"/>
      <c r="V155" s="111"/>
      <c r="W155" s="44"/>
      <c r="X155" s="152"/>
      <c r="Y155" s="44"/>
      <c r="Z155" s="44"/>
      <c r="AA155" s="44"/>
      <c r="AB155" s="223"/>
      <c r="AC155" s="152"/>
      <c r="AD155" s="44"/>
      <c r="AE155" s="44"/>
      <c r="AG155" s="32"/>
      <c r="AH155" s="62"/>
      <c r="AI155" s="48"/>
    </row>
    <row r="156" spans="2:52" ht="12.75" customHeight="1">
      <c r="B156" s="1021"/>
      <c r="C156" s="34" t="s">
        <v>481</v>
      </c>
      <c r="D156" s="35"/>
      <c r="E156" s="1395">
        <f>E132+E143</f>
        <v>40.748000000000005</v>
      </c>
      <c r="F156" s="243">
        <f t="shared" ref="F156:P156" si="18">F132+F143</f>
        <v>0.84620000000000006</v>
      </c>
      <c r="G156" s="243">
        <f t="shared" si="18"/>
        <v>1.0434000000000001</v>
      </c>
      <c r="H156" s="243">
        <f t="shared" si="18"/>
        <v>981.83600000000001</v>
      </c>
      <c r="I156" s="243">
        <f t="shared" si="18"/>
        <v>807.20999999999992</v>
      </c>
      <c r="J156" s="243">
        <f t="shared" si="18"/>
        <v>793.62</v>
      </c>
      <c r="K156" s="243">
        <f t="shared" si="18"/>
        <v>215.18500000000003</v>
      </c>
      <c r="L156" s="243">
        <f t="shared" si="18"/>
        <v>10.299999999999999</v>
      </c>
      <c r="M156" s="243">
        <f t="shared" si="18"/>
        <v>716.47399999999993</v>
      </c>
      <c r="N156" s="243">
        <f t="shared" si="18"/>
        <v>5.9250000000000004E-2</v>
      </c>
      <c r="O156" s="243">
        <f t="shared" si="18"/>
        <v>5.0999999999999997E-2</v>
      </c>
      <c r="P156" s="1024">
        <f t="shared" si="18"/>
        <v>2.4210000000000003</v>
      </c>
      <c r="Q156" s="105"/>
      <c r="R156" s="9"/>
      <c r="T156" s="40"/>
      <c r="V156" s="111"/>
      <c r="W156" s="44"/>
      <c r="X156" s="44"/>
      <c r="Y156" s="44"/>
      <c r="Z156" s="44"/>
      <c r="AA156" s="44"/>
      <c r="AB156" s="44"/>
      <c r="AC156" s="44"/>
      <c r="AD156" s="44"/>
      <c r="AE156" s="119"/>
      <c r="AG156" s="32"/>
      <c r="AH156" s="4"/>
      <c r="AI156" s="8"/>
    </row>
    <row r="157" spans="2:52" ht="12" customHeight="1">
      <c r="B157" s="513"/>
      <c r="C157" s="1368" t="s">
        <v>12</v>
      </c>
      <c r="D157" s="2261">
        <v>0.6</v>
      </c>
      <c r="E157" s="1355">
        <v>42</v>
      </c>
      <c r="F157" s="1365">
        <v>0.84</v>
      </c>
      <c r="G157" s="1364">
        <v>0.96</v>
      </c>
      <c r="H157" s="1363">
        <v>540</v>
      </c>
      <c r="I157" s="1365">
        <v>720</v>
      </c>
      <c r="J157" s="1364">
        <v>720</v>
      </c>
      <c r="K157" s="1363">
        <v>180</v>
      </c>
      <c r="L157" s="1365">
        <v>10.8</v>
      </c>
      <c r="M157" s="1369">
        <v>720</v>
      </c>
      <c r="N157" s="1365">
        <v>0.06</v>
      </c>
      <c r="O157" s="1364">
        <v>0.03</v>
      </c>
      <c r="P157" s="1366">
        <v>2.4</v>
      </c>
      <c r="Q157" s="105"/>
      <c r="R157" s="9"/>
      <c r="S157" s="1481"/>
      <c r="T157" s="40"/>
      <c r="U157" s="1140"/>
      <c r="V157" s="111"/>
      <c r="W157" s="44"/>
      <c r="X157" s="44"/>
      <c r="Y157" s="44"/>
      <c r="Z157" s="44"/>
      <c r="AA157" s="44"/>
      <c r="AB157" s="44"/>
      <c r="AC157" s="44"/>
      <c r="AD157" s="44"/>
      <c r="AE157" s="153"/>
      <c r="AG157" s="32"/>
      <c r="AH157" s="4"/>
      <c r="AI157" s="8"/>
    </row>
    <row r="158" spans="2:52" ht="13.5" customHeight="1" thickBot="1">
      <c r="B158" s="237"/>
      <c r="C158" s="1347" t="s">
        <v>940</v>
      </c>
      <c r="D158" s="1348" t="s">
        <v>280</v>
      </c>
      <c r="E158" s="2265">
        <f>(E156*100/E154)-60</f>
        <v>-1.7885714285714229</v>
      </c>
      <c r="F158" s="2266">
        <f t="shared" ref="F158:O158" si="19">(F156*100/F154)-60</f>
        <v>0.44285714285715017</v>
      </c>
      <c r="G158" s="2266">
        <f t="shared" si="19"/>
        <v>5.2124999999999915</v>
      </c>
      <c r="H158" s="2266">
        <f t="shared" si="19"/>
        <v>49.092888888888893</v>
      </c>
      <c r="I158" s="2266">
        <f t="shared" si="19"/>
        <v>7.2674999999999841</v>
      </c>
      <c r="J158" s="2266">
        <f t="shared" si="19"/>
        <v>6.1350000000000051</v>
      </c>
      <c r="K158" s="2266">
        <f t="shared" si="19"/>
        <v>11.728333333333339</v>
      </c>
      <c r="L158" s="2266">
        <f t="shared" si="19"/>
        <v>-2.7777777777777786</v>
      </c>
      <c r="M158" s="2266">
        <f t="shared" si="19"/>
        <v>-0.29383333333333894</v>
      </c>
      <c r="N158" s="2266">
        <f t="shared" si="19"/>
        <v>-0.74999999999999289</v>
      </c>
      <c r="O158" s="2266">
        <f t="shared" si="19"/>
        <v>41.999999999999986</v>
      </c>
      <c r="P158" s="2267">
        <f>(P156*100/P154)-60</f>
        <v>0.52500000000000568</v>
      </c>
      <c r="Q158" s="105"/>
      <c r="R158" s="9"/>
      <c r="V158" s="111"/>
      <c r="W158" s="44"/>
      <c r="X158" s="44"/>
      <c r="Y158" s="44"/>
      <c r="Z158" s="44"/>
      <c r="AA158" s="44"/>
      <c r="AB158" s="44"/>
      <c r="AC158" s="44"/>
      <c r="AD158" s="44"/>
      <c r="AE158" s="153"/>
      <c r="AG158" s="32"/>
      <c r="AH158" s="4"/>
      <c r="AI158" s="8"/>
    </row>
    <row r="159" spans="2:52" ht="15" customHeight="1" thickBot="1"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05"/>
      <c r="R159" s="9"/>
      <c r="V159" s="111"/>
      <c r="W159" s="44"/>
      <c r="X159" s="44"/>
      <c r="Y159" s="44"/>
      <c r="Z159" s="44"/>
      <c r="AA159" s="44"/>
      <c r="AB159" s="44"/>
      <c r="AC159" s="44"/>
      <c r="AD159" s="44"/>
      <c r="AE159" s="153"/>
      <c r="AG159" s="32"/>
      <c r="AH159" s="4"/>
      <c r="AI159" s="8"/>
      <c r="AJ159" s="44"/>
      <c r="AK159" s="44"/>
      <c r="AL159" s="44"/>
      <c r="AM159" s="111"/>
      <c r="AN159" s="44"/>
      <c r="AO159" s="44"/>
      <c r="AP159" s="152"/>
      <c r="AQ159" s="44"/>
      <c r="AR159" s="44"/>
      <c r="AS159" s="44"/>
      <c r="AT159" s="44"/>
      <c r="AU159" s="44"/>
      <c r="AV159" s="153"/>
    </row>
    <row r="160" spans="2:52">
      <c r="B160" s="1021"/>
      <c r="C160" s="34" t="s">
        <v>480</v>
      </c>
      <c r="D160" s="35"/>
      <c r="E160" s="145">
        <f>E143+E150</f>
        <v>25.432000000000002</v>
      </c>
      <c r="F160" s="243">
        <f t="shared" ref="F160:P160" si="20">F143+F150</f>
        <v>0.68990000000000018</v>
      </c>
      <c r="G160" s="243">
        <f t="shared" si="20"/>
        <v>0.82420000000000004</v>
      </c>
      <c r="H160" s="243">
        <f t="shared" si="20"/>
        <v>895.28100000000006</v>
      </c>
      <c r="I160" s="243">
        <f t="shared" si="20"/>
        <v>827.56399999999985</v>
      </c>
      <c r="J160" s="243">
        <f t="shared" si="20"/>
        <v>716.24</v>
      </c>
      <c r="K160" s="243">
        <f t="shared" si="20"/>
        <v>179.09500000000003</v>
      </c>
      <c r="L160" s="243">
        <f t="shared" si="20"/>
        <v>8.3659999999999997</v>
      </c>
      <c r="M160" s="243">
        <f t="shared" si="20"/>
        <v>563.73400000000004</v>
      </c>
      <c r="N160" s="243">
        <f t="shared" si="20"/>
        <v>4.6250000000000006E-2</v>
      </c>
      <c r="O160" s="243">
        <f t="shared" si="20"/>
        <v>1.9E-2</v>
      </c>
      <c r="P160" s="1024">
        <f t="shared" si="20"/>
        <v>1.8810000000000002</v>
      </c>
      <c r="Q160" s="105"/>
      <c r="R160" s="9"/>
      <c r="V160" s="111"/>
      <c r="W160" s="44"/>
      <c r="X160" s="44"/>
      <c r="Y160" s="44"/>
      <c r="Z160" s="44"/>
      <c r="AA160" s="44"/>
      <c r="AB160" s="44"/>
      <c r="AC160" s="44"/>
      <c r="AD160" s="44"/>
      <c r="AE160" s="153"/>
      <c r="AG160" s="33"/>
      <c r="AH160" s="4"/>
      <c r="AI160" s="8"/>
      <c r="AJ160" s="44"/>
      <c r="AK160" s="44"/>
      <c r="AL160" s="44"/>
      <c r="AM160" s="111"/>
      <c r="AN160" s="44"/>
      <c r="AO160" s="44"/>
      <c r="AP160" s="152"/>
      <c r="AQ160" s="44"/>
      <c r="AR160" s="44"/>
      <c r="AS160" s="44"/>
      <c r="AT160" s="44"/>
      <c r="AU160" s="44"/>
      <c r="AV160" s="153"/>
    </row>
    <row r="161" spans="2:51">
      <c r="B161" s="513"/>
      <c r="C161" s="1368" t="s">
        <v>12</v>
      </c>
      <c r="D161" s="2261">
        <v>0.45</v>
      </c>
      <c r="E161" s="1355">
        <v>31.5</v>
      </c>
      <c r="F161" s="1365">
        <v>0.63</v>
      </c>
      <c r="G161" s="1364">
        <v>0.72</v>
      </c>
      <c r="H161" s="1364">
        <v>405</v>
      </c>
      <c r="I161" s="1365">
        <v>540</v>
      </c>
      <c r="J161" s="1364">
        <v>540</v>
      </c>
      <c r="K161" s="1364">
        <v>135</v>
      </c>
      <c r="L161" s="1365">
        <v>8.1</v>
      </c>
      <c r="M161" s="1365">
        <v>540</v>
      </c>
      <c r="N161" s="1365">
        <v>4.4999999999999998E-2</v>
      </c>
      <c r="O161" s="1364">
        <v>2.2499999999999999E-2</v>
      </c>
      <c r="P161" s="1366">
        <v>1.8</v>
      </c>
      <c r="Q161" s="105"/>
      <c r="R161" s="9"/>
      <c r="V161" s="111"/>
      <c r="W161" s="44"/>
      <c r="X161" s="44"/>
      <c r="Y161" s="44"/>
      <c r="Z161" s="44"/>
      <c r="AA161" s="44"/>
      <c r="AB161" s="44"/>
      <c r="AC161" s="223"/>
      <c r="AD161" s="44"/>
      <c r="AE161" s="153"/>
      <c r="AG161" s="33"/>
      <c r="AH161" s="4"/>
      <c r="AI161" s="8"/>
      <c r="AJ161" s="44"/>
      <c r="AK161" s="152"/>
      <c r="AL161" s="44"/>
      <c r="AM161" s="111"/>
      <c r="AN161" s="44"/>
      <c r="AO161" s="44"/>
      <c r="AP161" s="44"/>
      <c r="AQ161" s="44"/>
      <c r="AR161" s="44"/>
      <c r="AS161" s="44"/>
      <c r="AT161" s="223"/>
      <c r="AU161" s="44"/>
      <c r="AV161" s="153"/>
    </row>
    <row r="162" spans="2:51" ht="15.75" thickBot="1">
      <c r="B162" s="237"/>
      <c r="C162" s="1347" t="s">
        <v>940</v>
      </c>
      <c r="D162" s="1348" t="s">
        <v>280</v>
      </c>
      <c r="E162" s="2265">
        <f>(E160*100/E154)-45</f>
        <v>-8.6685714285714255</v>
      </c>
      <c r="F162" s="2266">
        <f t="shared" ref="F162:O162" si="21">(F160*100/F154)-45</f>
        <v>4.2785714285714462</v>
      </c>
      <c r="G162" s="2266">
        <f t="shared" si="21"/>
        <v>6.5124999999999957</v>
      </c>
      <c r="H162" s="2266">
        <f t="shared" si="21"/>
        <v>54.475666666666669</v>
      </c>
      <c r="I162" s="2266">
        <f t="shared" si="21"/>
        <v>23.963666666666654</v>
      </c>
      <c r="J162" s="2266">
        <f t="shared" si="21"/>
        <v>14.686666666666667</v>
      </c>
      <c r="K162" s="2266">
        <f t="shared" si="21"/>
        <v>14.698333333333345</v>
      </c>
      <c r="L162" s="2266">
        <f t="shared" si="21"/>
        <v>1.4777777777777743</v>
      </c>
      <c r="M162" s="2266">
        <f t="shared" si="21"/>
        <v>1.9778333333333364</v>
      </c>
      <c r="N162" s="2266">
        <f t="shared" si="21"/>
        <v>1.2500000000000071</v>
      </c>
      <c r="O162" s="2266">
        <f t="shared" si="21"/>
        <v>-7.0000000000000071</v>
      </c>
      <c r="P162" s="2267">
        <f>(P160*100/P154)-45</f>
        <v>2.0250000000000057</v>
      </c>
      <c r="Q162" s="105"/>
      <c r="R162" s="1"/>
      <c r="V162" s="214"/>
      <c r="W162" s="46"/>
      <c r="X162" s="214"/>
      <c r="Y162" s="214"/>
      <c r="Z162" s="46"/>
      <c r="AA162" s="458"/>
      <c r="AB162" s="214"/>
      <c r="AC162" s="204"/>
      <c r="AD162" s="46"/>
      <c r="AE162" s="48"/>
      <c r="AJ162" s="32"/>
      <c r="AK162" s="4"/>
      <c r="AL162" s="9"/>
      <c r="AM162" s="44"/>
      <c r="AN162" s="44"/>
      <c r="AO162" s="44"/>
      <c r="AP162" s="111"/>
      <c r="AQ162" s="222"/>
      <c r="AR162" s="152"/>
      <c r="AS162" s="152"/>
      <c r="AT162" s="152"/>
      <c r="AU162" s="152"/>
      <c r="AV162" s="152"/>
      <c r="AW162" s="152"/>
      <c r="AX162" s="152"/>
      <c r="AY162" s="153"/>
    </row>
    <row r="163" spans="2:51" ht="15.75" thickBot="1"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05"/>
      <c r="R163" s="8"/>
      <c r="V163" s="434"/>
      <c r="W163" s="435"/>
      <c r="X163" s="434"/>
      <c r="Y163" s="434"/>
      <c r="Z163" s="435"/>
      <c r="AA163" s="714"/>
      <c r="AB163" s="434"/>
      <c r="AC163" s="434"/>
      <c r="AD163" s="435"/>
      <c r="AE163" s="435"/>
      <c r="AG163" s="32"/>
      <c r="AH163" s="4"/>
      <c r="AI163" s="183"/>
      <c r="AJ163" s="32"/>
      <c r="AK163" s="4"/>
      <c r="AL163" s="66"/>
      <c r="AM163" s="44"/>
      <c r="AN163" s="44"/>
      <c r="AO163" s="44"/>
      <c r="AP163" s="111"/>
      <c r="AQ163" s="44"/>
      <c r="AR163" s="44"/>
      <c r="AS163" s="152"/>
      <c r="AT163" s="44"/>
      <c r="AU163" s="44"/>
      <c r="AV163" s="44"/>
      <c r="AW163" s="44"/>
      <c r="AX163" s="44"/>
      <c r="AY163" s="153"/>
    </row>
    <row r="164" spans="2:51">
      <c r="B164" s="1372" t="s">
        <v>728</v>
      </c>
      <c r="C164" s="68"/>
      <c r="D164" s="47"/>
      <c r="E164" s="145">
        <f>E132+E143+E150</f>
        <v>48.868000000000002</v>
      </c>
      <c r="F164" s="243">
        <f t="shared" ref="F164:P164" si="22">F132+F143+F150</f>
        <v>1.0432000000000001</v>
      </c>
      <c r="G164" s="243">
        <f t="shared" si="22"/>
        <v>1.2162000000000002</v>
      </c>
      <c r="H164" s="1367">
        <f t="shared" si="22"/>
        <v>1143.931</v>
      </c>
      <c r="I164" s="1367">
        <f t="shared" si="22"/>
        <v>1123.6729999999998</v>
      </c>
      <c r="J164" s="243">
        <f t="shared" si="22"/>
        <v>1026.6199999999999</v>
      </c>
      <c r="K164" s="243">
        <f t="shared" si="22"/>
        <v>260.08500000000004</v>
      </c>
      <c r="L164" s="243">
        <f t="shared" si="22"/>
        <v>12.27</v>
      </c>
      <c r="M164" s="243">
        <f t="shared" si="22"/>
        <v>838.24099999999999</v>
      </c>
      <c r="N164" s="243">
        <f t="shared" si="22"/>
        <v>6.9250000000000006E-2</v>
      </c>
      <c r="O164" s="243">
        <f t="shared" si="22"/>
        <v>5.4999999999999993E-2</v>
      </c>
      <c r="P164" s="1024">
        <f t="shared" si="22"/>
        <v>2.8510000000000004</v>
      </c>
      <c r="Q164" s="105"/>
      <c r="V164" s="437"/>
      <c r="W164" s="704"/>
      <c r="X164" s="437"/>
      <c r="Y164" s="437"/>
      <c r="Z164" s="437"/>
      <c r="AA164" s="432"/>
      <c r="AB164" s="432"/>
      <c r="AC164" s="437"/>
      <c r="AD164" s="437"/>
      <c r="AE164" s="438"/>
      <c r="AG164" s="32"/>
      <c r="AH164" s="4"/>
      <c r="AI164" s="8"/>
      <c r="AJ164" s="55"/>
      <c r="AK164" s="218"/>
      <c r="AL164" s="66"/>
      <c r="AM164" s="44"/>
      <c r="AN164" s="44"/>
      <c r="AO164" s="44"/>
      <c r="AP164" s="111"/>
      <c r="AQ164" s="44"/>
      <c r="AR164" s="44"/>
      <c r="AS164" s="152"/>
      <c r="AT164" s="44"/>
      <c r="AU164" s="44"/>
      <c r="AV164" s="44"/>
      <c r="AW164" s="44"/>
      <c r="AX164" s="44"/>
      <c r="AY164" s="153"/>
    </row>
    <row r="165" spans="2:51">
      <c r="B165" s="1343"/>
      <c r="C165" s="1344" t="s">
        <v>12</v>
      </c>
      <c r="D165" s="2261">
        <v>0.7</v>
      </c>
      <c r="E165" s="1355">
        <v>49</v>
      </c>
      <c r="F165" s="1365">
        <v>0.98</v>
      </c>
      <c r="G165" s="1364">
        <v>1.1200000000000001</v>
      </c>
      <c r="H165" s="1364">
        <v>630</v>
      </c>
      <c r="I165" s="1365">
        <v>840</v>
      </c>
      <c r="J165" s="1364">
        <v>840</v>
      </c>
      <c r="K165" s="1364">
        <v>210</v>
      </c>
      <c r="L165" s="1365">
        <v>12.6</v>
      </c>
      <c r="M165" s="1365">
        <v>840</v>
      </c>
      <c r="N165" s="1365">
        <v>7.0000000000000007E-2</v>
      </c>
      <c r="O165" s="1364">
        <v>3.5000000000000003E-2</v>
      </c>
      <c r="P165" s="1366">
        <v>2.8</v>
      </c>
      <c r="Q165" s="105"/>
      <c r="R165" s="1"/>
      <c r="V165" s="1"/>
      <c r="W165" s="1"/>
      <c r="X165" s="1"/>
      <c r="Y165" s="1"/>
      <c r="Z165" s="1"/>
      <c r="AA165" s="1"/>
      <c r="AB165" s="1"/>
      <c r="AC165" s="1"/>
      <c r="AD165" s="1"/>
      <c r="AG165" s="4"/>
      <c r="AH165" s="8"/>
      <c r="AI165" s="40"/>
      <c r="AJ165" s="33"/>
      <c r="AK165" s="4"/>
      <c r="AL165" s="9"/>
      <c r="AM165" s="44"/>
      <c r="AN165" s="152"/>
      <c r="AO165" s="44"/>
      <c r="AP165" s="111"/>
      <c r="AQ165" s="44"/>
      <c r="AR165" s="44"/>
      <c r="AS165" s="44"/>
      <c r="AT165" s="44"/>
      <c r="AU165" s="44"/>
      <c r="AV165" s="44"/>
      <c r="AW165" s="223"/>
      <c r="AX165" s="44"/>
      <c r="AY165" s="153"/>
    </row>
    <row r="166" spans="2:51" ht="15.75" thickBot="1">
      <c r="B166" s="237"/>
      <c r="C166" s="1347" t="s">
        <v>940</v>
      </c>
      <c r="D166" s="1348" t="s">
        <v>280</v>
      </c>
      <c r="E166" s="2265">
        <f>(E164*100/E154)-70</f>
        <v>-0.18857142857142151</v>
      </c>
      <c r="F166" s="2266">
        <f t="shared" ref="F166:O166" si="23">(F164*100/F154)-70</f>
        <v>4.5142857142857196</v>
      </c>
      <c r="G166" s="2266">
        <f t="shared" si="23"/>
        <v>6.0125000000000028</v>
      </c>
      <c r="H166" s="2266">
        <f t="shared" si="23"/>
        <v>57.103444444444449</v>
      </c>
      <c r="I166" s="2266">
        <f t="shared" si="23"/>
        <v>23.639416666666648</v>
      </c>
      <c r="J166" s="2266">
        <f t="shared" si="23"/>
        <v>15.551666666666648</v>
      </c>
      <c r="K166" s="2266">
        <f t="shared" si="23"/>
        <v>16.695000000000007</v>
      </c>
      <c r="L166" s="2266">
        <f t="shared" si="23"/>
        <v>-1.8333333333333286</v>
      </c>
      <c r="M166" s="2266">
        <f t="shared" si="23"/>
        <v>-0.14658333333332507</v>
      </c>
      <c r="N166" s="2266">
        <f t="shared" si="23"/>
        <v>-0.75</v>
      </c>
      <c r="O166" s="2266">
        <f t="shared" si="23"/>
        <v>39.999999999999972</v>
      </c>
      <c r="P166" s="2267">
        <f>(P164*100/P154)-70</f>
        <v>1.2750000000000057</v>
      </c>
      <c r="Q166" s="105"/>
      <c r="R166" s="1"/>
      <c r="V166" s="1"/>
      <c r="W166" s="1"/>
      <c r="X166" s="1"/>
      <c r="Y166" s="1"/>
      <c r="Z166" s="1"/>
      <c r="AA166" s="1"/>
      <c r="AB166" s="1"/>
      <c r="AC166" s="1"/>
      <c r="AD166" s="1"/>
      <c r="AG166" s="4"/>
      <c r="AH166" s="46"/>
    </row>
    <row r="167" spans="2:51" ht="15.75">
      <c r="B167" s="1396"/>
      <c r="C167" s="4"/>
      <c r="D167" s="9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24"/>
      <c r="P167" s="44"/>
      <c r="Q167" s="360"/>
      <c r="R167" s="1"/>
      <c r="V167" s="1"/>
      <c r="W167" s="1"/>
      <c r="X167" s="1"/>
      <c r="Y167" s="1"/>
      <c r="Z167" s="1"/>
      <c r="AA167" s="1"/>
      <c r="AB167" s="1"/>
      <c r="AC167" s="1"/>
      <c r="AD167" s="1"/>
      <c r="AF167" s="717"/>
      <c r="AJ167" s="20"/>
      <c r="AK167" s="363"/>
      <c r="AM167" s="20"/>
      <c r="AN167" s="20"/>
      <c r="AP167" s="43"/>
      <c r="AT167" s="13"/>
    </row>
    <row r="168" spans="2:51">
      <c r="D168" s="5" t="s">
        <v>286</v>
      </c>
      <c r="P168"/>
      <c r="Q168" s="105"/>
      <c r="R168" s="1"/>
      <c r="V168" s="1"/>
      <c r="W168" s="1"/>
      <c r="X168" s="1"/>
      <c r="Y168" s="1"/>
      <c r="Z168" s="1"/>
      <c r="AA168" s="1"/>
      <c r="AB168" s="1"/>
      <c r="AC168" s="1"/>
      <c r="AD168" s="1"/>
      <c r="AF168" s="718"/>
    </row>
    <row r="169" spans="2:51" ht="18" customHeight="1">
      <c r="C169" s="1300" t="s">
        <v>695</v>
      </c>
      <c r="D169"/>
      <c r="E169" s="32"/>
      <c r="P169"/>
      <c r="Q169" s="105"/>
      <c r="R169" s="1"/>
      <c r="V169" s="1"/>
      <c r="W169" s="1"/>
      <c r="X169" s="1"/>
      <c r="Y169" s="1"/>
      <c r="Z169" s="1"/>
      <c r="AA169" s="1"/>
      <c r="AB169" s="1"/>
      <c r="AC169" s="1"/>
      <c r="AD169" s="1"/>
      <c r="AF169" s="55"/>
      <c r="AJ169" s="20"/>
      <c r="AK169" s="20"/>
      <c r="AM169" s="20"/>
      <c r="AN169" s="20"/>
      <c r="AP169" s="4"/>
    </row>
    <row r="170" spans="2:51" ht="14.25" customHeight="1">
      <c r="C170" s="7" t="s">
        <v>754</v>
      </c>
      <c r="D170" s="8"/>
      <c r="E170" s="2"/>
      <c r="F170"/>
      <c r="P170"/>
      <c r="Q170" s="105"/>
      <c r="R170" s="1"/>
      <c r="V170" s="1"/>
      <c r="W170" s="1"/>
      <c r="X170" s="1"/>
      <c r="Y170" s="1"/>
      <c r="Z170" s="1"/>
      <c r="AA170" s="1"/>
      <c r="AB170" s="1"/>
      <c r="AC170" s="1"/>
      <c r="AD170" s="1"/>
      <c r="AG170" s="364"/>
      <c r="AH170" s="365"/>
      <c r="AI170" s="366"/>
      <c r="AJ170" s="367"/>
      <c r="AK170" s="42"/>
      <c r="AL170" s="42"/>
      <c r="AM170" s="42"/>
      <c r="AN170" s="42"/>
      <c r="AO170" s="42"/>
      <c r="AP170" s="42"/>
      <c r="AQ170" s="364"/>
      <c r="AR170" s="364"/>
      <c r="AS170" s="698"/>
    </row>
    <row r="171" spans="2:51" ht="12.75" customHeight="1">
      <c r="E171" s="1300" t="s">
        <v>694</v>
      </c>
      <c r="F171"/>
      <c r="G171" s="19"/>
      <c r="H171" s="19"/>
      <c r="K171" s="94"/>
      <c r="P171"/>
      <c r="Q171" s="105"/>
      <c r="R171" s="1"/>
      <c r="V171" s="1"/>
      <c r="W171" s="1"/>
      <c r="X171" s="1"/>
      <c r="Y171" s="1"/>
      <c r="Z171" s="1"/>
      <c r="AA171" s="1"/>
      <c r="AB171" s="1"/>
      <c r="AC171" s="1"/>
      <c r="AD171" s="1"/>
      <c r="AG171" s="49"/>
      <c r="AH171" s="49"/>
      <c r="AI171" s="49"/>
      <c r="AJ171" s="368"/>
      <c r="AK171" s="49"/>
      <c r="AL171" s="49"/>
      <c r="AM171" s="49"/>
      <c r="AN171" s="49"/>
      <c r="AO171" s="49"/>
      <c r="AP171" s="49"/>
      <c r="AQ171" s="49"/>
      <c r="AR171" s="49"/>
      <c r="AS171" s="49"/>
    </row>
    <row r="172" spans="2:51" ht="15.75" customHeight="1">
      <c r="C172" s="1" t="s">
        <v>359</v>
      </c>
      <c r="K172" s="32"/>
      <c r="M172" s="204"/>
      <c r="P172"/>
      <c r="Q172" s="105"/>
      <c r="R172" s="1"/>
      <c r="V172" s="1"/>
      <c r="W172" s="1"/>
      <c r="X172" s="1"/>
      <c r="Y172" s="1"/>
      <c r="Z172" s="1"/>
      <c r="AA172" s="1"/>
      <c r="AB172" s="1"/>
      <c r="AC172" s="1"/>
      <c r="AD172" s="1"/>
      <c r="AG172" s="44"/>
      <c r="AH172" s="44"/>
      <c r="AI172" s="44"/>
      <c r="AJ172" s="111"/>
      <c r="AK172" s="44"/>
      <c r="AL172" s="44"/>
      <c r="AM172" s="44"/>
      <c r="AN172" s="44"/>
      <c r="AO172" s="44"/>
      <c r="AP172" s="44"/>
      <c r="AQ172" s="44"/>
      <c r="AR172" s="44"/>
      <c r="AS172" s="153"/>
    </row>
    <row r="173" spans="2:51" ht="18.75" customHeight="1">
      <c r="C173" s="19" t="s">
        <v>282</v>
      </c>
      <c r="K173" s="45"/>
      <c r="P173"/>
      <c r="Q173" s="105"/>
      <c r="R173" s="1"/>
      <c r="V173" s="1"/>
      <c r="W173" s="1"/>
      <c r="X173" s="1"/>
      <c r="Y173" s="1"/>
      <c r="Z173" s="1"/>
      <c r="AA173" s="1"/>
      <c r="AB173" s="1"/>
      <c r="AC173" s="1"/>
      <c r="AD173" s="1"/>
      <c r="AG173" s="705"/>
      <c r="AH173" s="705"/>
      <c r="AI173" s="705"/>
      <c r="AJ173" s="713"/>
      <c r="AK173" s="705"/>
      <c r="AL173" s="705"/>
      <c r="AM173" s="705"/>
      <c r="AN173" s="705"/>
      <c r="AO173" s="706"/>
      <c r="AP173" s="706"/>
      <c r="AQ173" s="705"/>
      <c r="AR173" s="705"/>
      <c r="AS173" s="705"/>
    </row>
    <row r="174" spans="2:51" ht="17.25" customHeight="1" thickBot="1">
      <c r="B174" s="43" t="s">
        <v>698</v>
      </c>
      <c r="C174" s="13"/>
      <c r="D174"/>
      <c r="F174" s="23" t="s">
        <v>1</v>
      </c>
      <c r="J174" s="20" t="s">
        <v>0</v>
      </c>
      <c r="K174"/>
      <c r="L174" s="2" t="s">
        <v>317</v>
      </c>
      <c r="M174" s="13"/>
      <c r="N174" s="13"/>
      <c r="O174" s="24"/>
      <c r="Q174" s="105"/>
      <c r="V174" s="1"/>
    </row>
    <row r="175" spans="2:51" ht="18.75" customHeight="1" thickBot="1">
      <c r="B175" s="1304" t="s">
        <v>700</v>
      </c>
      <c r="C175" s="600" t="s">
        <v>731</v>
      </c>
      <c r="D175" s="1376" t="s">
        <v>251</v>
      </c>
      <c r="E175" s="1306" t="s">
        <v>701</v>
      </c>
      <c r="F175" s="1307"/>
      <c r="G175" s="1307"/>
      <c r="H175" s="1308"/>
      <c r="I175" s="1309" t="s">
        <v>730</v>
      </c>
      <c r="J175" s="31"/>
      <c r="K175" s="1310"/>
      <c r="L175" s="31"/>
      <c r="M175" s="31"/>
      <c r="N175" s="31"/>
      <c r="O175" s="31"/>
      <c r="P175" s="54"/>
      <c r="Q175" s="1304" t="s">
        <v>703</v>
      </c>
      <c r="R175" s="19"/>
      <c r="V175" s="19"/>
      <c r="W175" s="13"/>
      <c r="X175" s="13"/>
      <c r="Y175" s="13"/>
      <c r="Z175" s="13"/>
      <c r="AP175" s="43"/>
      <c r="AR175" s="43"/>
    </row>
    <row r="176" spans="2:51" ht="15" customHeight="1">
      <c r="B176" s="535" t="s">
        <v>704</v>
      </c>
      <c r="C176" s="530" t="s">
        <v>257</v>
      </c>
      <c r="D176" s="1377" t="s">
        <v>258</v>
      </c>
      <c r="E176" s="1312" t="s">
        <v>705</v>
      </c>
      <c r="F176" s="1313" t="s">
        <v>706</v>
      </c>
      <c r="G176" s="787" t="s">
        <v>707</v>
      </c>
      <c r="H176" s="1314" t="s">
        <v>708</v>
      </c>
      <c r="I176" s="1315" t="s">
        <v>709</v>
      </c>
      <c r="J176" s="1316" t="s">
        <v>710</v>
      </c>
      <c r="K176" s="1317" t="s">
        <v>711</v>
      </c>
      <c r="L176" s="1318" t="s">
        <v>712</v>
      </c>
      <c r="M176" s="1319" t="s">
        <v>713</v>
      </c>
      <c r="N176" s="835" t="s">
        <v>714</v>
      </c>
      <c r="O176" s="1319" t="s">
        <v>715</v>
      </c>
      <c r="P176" s="1320" t="s">
        <v>716</v>
      </c>
      <c r="Q176" s="1321" t="s">
        <v>717</v>
      </c>
      <c r="R176" s="1"/>
      <c r="V176" s="1"/>
      <c r="W176" s="1"/>
      <c r="X176" s="1"/>
      <c r="Y176" s="1"/>
      <c r="Z176" s="1"/>
      <c r="AA176" s="1"/>
      <c r="AB176" s="1"/>
      <c r="AC176" s="1"/>
      <c r="AD176" s="1"/>
      <c r="AJ176" s="715"/>
      <c r="AR176" s="43"/>
    </row>
    <row r="177" spans="2:48" ht="13.5" customHeight="1" thickBot="1">
      <c r="B177" s="541" t="s">
        <v>718</v>
      </c>
      <c r="C177" s="579"/>
      <c r="D177" s="537"/>
      <c r="E177" s="56"/>
      <c r="F177" s="1378"/>
      <c r="H177" s="1378"/>
      <c r="I177" s="1379" t="s">
        <v>719</v>
      </c>
      <c r="J177" s="119" t="s">
        <v>720</v>
      </c>
      <c r="K177" s="1380" t="s">
        <v>721</v>
      </c>
      <c r="L177" s="1381" t="s">
        <v>722</v>
      </c>
      <c r="M177" s="1380" t="s">
        <v>723</v>
      </c>
      <c r="N177" s="46" t="s">
        <v>724</v>
      </c>
      <c r="O177" s="1382" t="s">
        <v>725</v>
      </c>
      <c r="P177" s="1383" t="s">
        <v>726</v>
      </c>
      <c r="Q177" s="1330" t="s">
        <v>490</v>
      </c>
      <c r="T177" s="169"/>
      <c r="V177" s="20"/>
      <c r="X177" s="2"/>
      <c r="Y177" s="13"/>
      <c r="Z177" s="13"/>
      <c r="AA177" s="13"/>
      <c r="AD177" s="24"/>
      <c r="AE177" s="30"/>
    </row>
    <row r="178" spans="2:48" ht="18" customHeight="1">
      <c r="B178" s="99"/>
      <c r="C178" s="774" t="s">
        <v>199</v>
      </c>
      <c r="D178" s="543"/>
      <c r="E178" s="1331"/>
      <c r="F178" s="545"/>
      <c r="G178" s="545"/>
      <c r="H178" s="779"/>
      <c r="I178" s="1333"/>
      <c r="J178" s="1333"/>
      <c r="K178" s="1333"/>
      <c r="L178" s="1333"/>
      <c r="M178" s="1333"/>
      <c r="N178" s="1333"/>
      <c r="O178" s="1333"/>
      <c r="P178" s="1335"/>
      <c r="Q178" s="1336"/>
      <c r="R178" s="13"/>
      <c r="V178" s="44"/>
      <c r="W178" s="44"/>
      <c r="X178" s="789"/>
      <c r="AE178" s="32"/>
    </row>
    <row r="179" spans="2:48">
      <c r="B179" s="1350" t="s">
        <v>687</v>
      </c>
      <c r="C179" s="560" t="s">
        <v>363</v>
      </c>
      <c r="D179" s="561">
        <v>65</v>
      </c>
      <c r="E179" s="2392">
        <v>6.5</v>
      </c>
      <c r="F179" s="380">
        <v>2.1700000000000001E-2</v>
      </c>
      <c r="G179" s="380">
        <v>2.1700000000000001E-2</v>
      </c>
      <c r="H179" s="1298">
        <v>6.5</v>
      </c>
      <c r="I179" s="2498">
        <v>15.166700000000001</v>
      </c>
      <c r="J179" s="1359">
        <v>27.1</v>
      </c>
      <c r="K179" s="1359">
        <v>9.1</v>
      </c>
      <c r="L179" s="1359">
        <v>0.39</v>
      </c>
      <c r="M179" s="1359">
        <v>61.43</v>
      </c>
      <c r="N179" s="1359">
        <v>2E-3</v>
      </c>
      <c r="O179" s="1359">
        <v>2.0000000000000001E-4</v>
      </c>
      <c r="P179" s="1359">
        <v>1.0999999999999999E-2</v>
      </c>
      <c r="Q179" s="557">
        <v>1</v>
      </c>
      <c r="R179" s="1"/>
      <c r="V179" s="44"/>
      <c r="W179" s="44"/>
      <c r="X179" s="789"/>
      <c r="AG179" s="32"/>
      <c r="AH179" s="4"/>
      <c r="AI179" s="9"/>
    </row>
    <row r="180" spans="2:48">
      <c r="B180" s="1351" t="s">
        <v>211</v>
      </c>
      <c r="C180" s="595" t="s">
        <v>218</v>
      </c>
      <c r="D180" s="239" t="s">
        <v>949</v>
      </c>
      <c r="E180" s="2392">
        <v>3.6589999999999998</v>
      </c>
      <c r="F180" s="380">
        <v>0.12</v>
      </c>
      <c r="G180" s="380">
        <v>0.11799999999999999</v>
      </c>
      <c r="H180" s="1384">
        <v>53.4</v>
      </c>
      <c r="I180" s="1359">
        <v>11.7</v>
      </c>
      <c r="J180" s="1359">
        <v>66</v>
      </c>
      <c r="K180" s="1359">
        <v>9.1549999999999994</v>
      </c>
      <c r="L180" s="1359">
        <v>1.538</v>
      </c>
      <c r="M180" s="1359">
        <v>23.5</v>
      </c>
      <c r="N180" s="1359">
        <v>2.7E-2</v>
      </c>
      <c r="O180" s="1359">
        <v>4.1999999999999997E-3</v>
      </c>
      <c r="P180" s="2393">
        <v>0.37</v>
      </c>
      <c r="Q180" s="580">
        <v>68</v>
      </c>
      <c r="R180" s="1"/>
      <c r="V180" s="44"/>
      <c r="W180" s="222"/>
      <c r="X180" s="789"/>
      <c r="AG180" s="32"/>
      <c r="AH180" s="13"/>
      <c r="AI180" s="150"/>
      <c r="AJ180" s="44"/>
      <c r="AK180" s="44"/>
      <c r="AL180" s="44"/>
      <c r="AM180" s="111"/>
      <c r="AN180" s="44"/>
      <c r="AO180" s="44"/>
      <c r="AP180" s="44"/>
      <c r="AQ180" s="44"/>
      <c r="AR180" s="44"/>
      <c r="AS180" s="44"/>
      <c r="AT180" s="44"/>
      <c r="AU180" s="44"/>
      <c r="AV180" s="153"/>
    </row>
    <row r="181" spans="2:48" ht="14.25" customHeight="1">
      <c r="B181" s="1351" t="s">
        <v>950</v>
      </c>
      <c r="C181" s="595" t="s">
        <v>128</v>
      </c>
      <c r="D181" s="166" t="s">
        <v>732</v>
      </c>
      <c r="E181" s="2414">
        <v>0.2</v>
      </c>
      <c r="F181" s="381">
        <v>0.08</v>
      </c>
      <c r="G181" s="2415">
        <v>0.04</v>
      </c>
      <c r="H181" s="1388">
        <v>20.170000000000002</v>
      </c>
      <c r="I181" s="384">
        <v>39.22</v>
      </c>
      <c r="J181" s="1359">
        <v>44.82</v>
      </c>
      <c r="K181" s="1359">
        <v>9.1669999999999998</v>
      </c>
      <c r="L181" s="1359">
        <v>0.46</v>
      </c>
      <c r="M181" s="1359">
        <v>12.38</v>
      </c>
      <c r="N181" s="1359">
        <v>0</v>
      </c>
      <c r="O181" s="1359">
        <v>5.0000000000000001E-3</v>
      </c>
      <c r="P181" s="2393">
        <v>0.26900000000000002</v>
      </c>
      <c r="Q181" s="589">
        <v>43</v>
      </c>
      <c r="R181" s="9"/>
      <c r="V181" s="153"/>
      <c r="W181" s="153"/>
      <c r="X181" s="789"/>
      <c r="AE181" s="653"/>
      <c r="AG181" s="385"/>
      <c r="AH181" s="13"/>
      <c r="AI181" s="3"/>
      <c r="AJ181" s="44"/>
      <c r="AK181" s="152"/>
      <c r="AL181" s="44"/>
      <c r="AM181" s="111"/>
      <c r="AN181" s="44"/>
      <c r="AO181" s="44"/>
      <c r="AP181" s="44"/>
      <c r="AQ181" s="44"/>
      <c r="AR181" s="44"/>
      <c r="AS181" s="44"/>
      <c r="AT181" s="223"/>
      <c r="AU181" s="44"/>
      <c r="AV181" s="153"/>
    </row>
    <row r="182" spans="2:48" ht="14.25" customHeight="1">
      <c r="B182" s="2589"/>
      <c r="C182" s="878" t="s">
        <v>541</v>
      </c>
      <c r="D182" s="590"/>
      <c r="E182" s="1536">
        <v>3.899</v>
      </c>
      <c r="F182" s="1359">
        <v>2.8000000000000001E-2</v>
      </c>
      <c r="G182" s="2416">
        <v>8.1000000000000003E-2</v>
      </c>
      <c r="H182" s="1298">
        <v>142.256</v>
      </c>
      <c r="I182" s="1359">
        <v>27.2</v>
      </c>
      <c r="J182" s="1359">
        <v>18.010000000000002</v>
      </c>
      <c r="K182" s="1359">
        <v>5.31</v>
      </c>
      <c r="L182" s="1359">
        <v>1.61</v>
      </c>
      <c r="M182" s="1359">
        <v>12.324</v>
      </c>
      <c r="N182" s="1359">
        <v>1.1000000000000001E-3</v>
      </c>
      <c r="O182" s="1359">
        <v>1.82E-3</v>
      </c>
      <c r="P182" s="2393">
        <v>0.34799999999999998</v>
      </c>
      <c r="Q182" s="593"/>
      <c r="R182" s="22"/>
      <c r="V182" s="44"/>
      <c r="W182" s="44"/>
      <c r="X182" s="789"/>
      <c r="AE182" s="689"/>
      <c r="AG182" s="385"/>
      <c r="AH182" s="13"/>
      <c r="AI182" s="22"/>
    </row>
    <row r="183" spans="2:48">
      <c r="B183" s="1272" t="s">
        <v>9</v>
      </c>
      <c r="C183" s="556" t="s">
        <v>585</v>
      </c>
      <c r="D183" s="561">
        <v>200</v>
      </c>
      <c r="E183" s="2392">
        <v>2.6</v>
      </c>
      <c r="F183" s="380">
        <v>0.04</v>
      </c>
      <c r="G183" s="380">
        <v>0.06</v>
      </c>
      <c r="H183" s="1384">
        <v>2.6739999999999999</v>
      </c>
      <c r="I183" s="1359">
        <v>27.56</v>
      </c>
      <c r="J183" s="1359">
        <v>32</v>
      </c>
      <c r="K183" s="1359">
        <v>11.8</v>
      </c>
      <c r="L183" s="1359">
        <v>1.61</v>
      </c>
      <c r="M183" s="1359">
        <v>110</v>
      </c>
      <c r="N183" s="1359">
        <v>5.0000000000000001E-3</v>
      </c>
      <c r="O183" s="1359">
        <v>0</v>
      </c>
      <c r="P183" s="2393">
        <v>2E-3</v>
      </c>
      <c r="Q183" s="581">
        <v>76</v>
      </c>
      <c r="V183" s="44"/>
      <c r="W183" s="44"/>
      <c r="X183" s="789"/>
      <c r="AG183" s="385"/>
      <c r="AH183" s="13"/>
      <c r="AI183" s="22"/>
    </row>
    <row r="184" spans="2:48">
      <c r="B184" s="1272" t="s">
        <v>10</v>
      </c>
      <c r="C184" s="556" t="s">
        <v>11</v>
      </c>
      <c r="D184" s="561">
        <v>50</v>
      </c>
      <c r="E184" s="2392">
        <v>0.1</v>
      </c>
      <c r="F184" s="380">
        <v>0.02</v>
      </c>
      <c r="G184" s="380">
        <v>1.7000000000000001E-2</v>
      </c>
      <c r="H184" s="1298">
        <v>0</v>
      </c>
      <c r="I184" s="1294">
        <v>79.166700000000006</v>
      </c>
      <c r="J184" s="1294">
        <v>64.5</v>
      </c>
      <c r="K184" s="1294">
        <v>20.5</v>
      </c>
      <c r="L184" s="1294">
        <v>0.05</v>
      </c>
      <c r="M184" s="2520">
        <v>37.167000000000002</v>
      </c>
      <c r="N184" s="1294">
        <v>0</v>
      </c>
      <c r="O184" s="1294">
        <v>0</v>
      </c>
      <c r="P184" s="1294">
        <v>0</v>
      </c>
      <c r="Q184" s="557">
        <v>11</v>
      </c>
      <c r="V184" s="44"/>
      <c r="W184" s="44"/>
      <c r="X184" s="789"/>
      <c r="AE184" s="44"/>
      <c r="AH184" s="40"/>
    </row>
    <row r="185" spans="2:48" ht="15.75" thickBot="1">
      <c r="B185" s="1352" t="s">
        <v>10</v>
      </c>
      <c r="C185" s="573" t="s">
        <v>792</v>
      </c>
      <c r="D185" s="574">
        <v>30</v>
      </c>
      <c r="E185" s="2402">
        <v>0</v>
      </c>
      <c r="F185" s="381">
        <v>0.06</v>
      </c>
      <c r="G185" s="381">
        <v>0</v>
      </c>
      <c r="H185" s="1465">
        <v>0</v>
      </c>
      <c r="I185" s="1294">
        <v>24.9</v>
      </c>
      <c r="J185" s="1294">
        <v>58.2</v>
      </c>
      <c r="K185" s="381">
        <v>17.100000000000001</v>
      </c>
      <c r="L185" s="1294">
        <v>0.03</v>
      </c>
      <c r="M185" s="1294">
        <v>43.2</v>
      </c>
      <c r="N185" s="1294">
        <v>8.9999999999999998E-4</v>
      </c>
      <c r="O185" s="1294">
        <v>0</v>
      </c>
      <c r="P185" s="2417">
        <v>0</v>
      </c>
      <c r="Q185" s="557">
        <v>12</v>
      </c>
      <c r="R185" s="18"/>
      <c r="V185" s="792"/>
      <c r="W185" s="793"/>
      <c r="X185" s="2310"/>
      <c r="Y185" s="2311"/>
      <c r="Z185" s="22"/>
      <c r="AE185" s="153"/>
      <c r="AG185" s="63"/>
      <c r="AH185" s="169"/>
    </row>
    <row r="186" spans="2:48">
      <c r="B186" s="565" t="s">
        <v>283</v>
      </c>
      <c r="C186" s="168"/>
      <c r="D186" s="2302">
        <f>D179+D183+D184+D185+110+10+110+70</f>
        <v>645</v>
      </c>
      <c r="E186" s="566">
        <f>SUM(E179:E185)</f>
        <v>16.958000000000002</v>
      </c>
      <c r="F186" s="1353">
        <f>SUM(F179:F185)</f>
        <v>0.36970000000000003</v>
      </c>
      <c r="G186" s="243">
        <f>SUM(G179:G185)</f>
        <v>0.3377</v>
      </c>
      <c r="H186" s="243">
        <f t="shared" ref="H186:P186" si="24">SUM(H179:H185)</f>
        <v>225</v>
      </c>
      <c r="I186" s="243">
        <f t="shared" si="24"/>
        <v>224.91340000000002</v>
      </c>
      <c r="J186" s="243">
        <f t="shared" si="24"/>
        <v>310.63</v>
      </c>
      <c r="K186" s="243">
        <f t="shared" si="24"/>
        <v>82.132000000000005</v>
      </c>
      <c r="L186" s="243">
        <f>SUM(L179:L185)</f>
        <v>5.6880000000000006</v>
      </c>
      <c r="M186" s="243">
        <f t="shared" si="24"/>
        <v>300.00100000000003</v>
      </c>
      <c r="N186" s="243">
        <f t="shared" si="24"/>
        <v>3.5999999999999997E-2</v>
      </c>
      <c r="O186" s="243">
        <f t="shared" si="24"/>
        <v>1.1219999999999999E-2</v>
      </c>
      <c r="P186" s="1386">
        <f t="shared" si="24"/>
        <v>1</v>
      </c>
      <c r="Q186" s="1358"/>
      <c r="R186" s="94"/>
      <c r="V186" s="1289"/>
      <c r="W186" s="1289"/>
      <c r="X186" s="1289"/>
      <c r="Y186" s="1029"/>
      <c r="Z186" s="1"/>
      <c r="AE186" s="153"/>
      <c r="AG186" s="119"/>
      <c r="AH186" s="116"/>
      <c r="AI186" s="46"/>
    </row>
    <row r="187" spans="2:48" ht="18" customHeight="1">
      <c r="B187" s="1343"/>
      <c r="C187" s="2298" t="s">
        <v>12</v>
      </c>
      <c r="D187" s="2291">
        <v>0.25</v>
      </c>
      <c r="E187" s="1398">
        <v>17.5</v>
      </c>
      <c r="F187" s="2413">
        <v>0.35</v>
      </c>
      <c r="G187" s="1399">
        <v>0.4</v>
      </c>
      <c r="H187" s="1345">
        <v>225</v>
      </c>
      <c r="I187" s="2413">
        <v>300</v>
      </c>
      <c r="J187" s="1399">
        <v>300</v>
      </c>
      <c r="K187" s="1345">
        <v>75</v>
      </c>
      <c r="L187" s="2413">
        <v>4.5</v>
      </c>
      <c r="M187" s="1346">
        <v>300</v>
      </c>
      <c r="N187" s="2413">
        <v>2.5000000000000001E-2</v>
      </c>
      <c r="O187" s="1399">
        <v>1.2500000000000001E-2</v>
      </c>
      <c r="P187" s="1345">
        <v>1</v>
      </c>
      <c r="Q187" s="1358"/>
      <c r="R187" s="722"/>
      <c r="V187" s="1"/>
      <c r="W187" s="1"/>
      <c r="X187" s="1"/>
      <c r="Y187" s="1"/>
      <c r="Z187" s="1"/>
      <c r="AA187" s="1"/>
      <c r="AB187" s="1"/>
      <c r="AC187" s="1"/>
      <c r="AD187" s="1"/>
      <c r="AE187" s="153"/>
      <c r="AG187" s="32"/>
      <c r="AH187" s="4"/>
      <c r="AI187" s="8"/>
    </row>
    <row r="188" spans="2:48" ht="16.5" customHeight="1" thickBot="1">
      <c r="B188" s="237"/>
      <c r="C188" s="1347" t="s">
        <v>940</v>
      </c>
      <c r="D188" s="1348" t="s">
        <v>280</v>
      </c>
      <c r="E188" s="2275">
        <f>(E186*100/E210)-25</f>
        <v>-0.77428571428571047</v>
      </c>
      <c r="F188" s="2272">
        <f t="shared" ref="F188:P188" si="25">(F186*100/F210)-25</f>
        <v>1.4071428571428619</v>
      </c>
      <c r="G188" s="2272">
        <f t="shared" si="25"/>
        <v>-3.8937500000000007</v>
      </c>
      <c r="H188" s="2272">
        <f>(H186*100/H210)-25</f>
        <v>0</v>
      </c>
      <c r="I188" s="2272">
        <f t="shared" si="25"/>
        <v>-6.2572166666666647</v>
      </c>
      <c r="J188" s="2272">
        <f t="shared" si="25"/>
        <v>0.88583333333333414</v>
      </c>
      <c r="K188" s="2272">
        <f t="shared" si="25"/>
        <v>2.3773333333333362</v>
      </c>
      <c r="L188" s="2272">
        <f t="shared" si="25"/>
        <v>6.600000000000005</v>
      </c>
      <c r="M188" s="2272">
        <f t="shared" si="25"/>
        <v>8.3333333336099713E-5</v>
      </c>
      <c r="N188" s="2272">
        <f t="shared" si="25"/>
        <v>10.999999999999993</v>
      </c>
      <c r="O188" s="2272">
        <f t="shared" si="25"/>
        <v>-2.5600000000000023</v>
      </c>
      <c r="P188" s="2273">
        <f t="shared" si="25"/>
        <v>0</v>
      </c>
      <c r="Q188" s="1358"/>
      <c r="R188" s="4"/>
      <c r="V188" s="44"/>
      <c r="W188" s="44"/>
      <c r="X188" s="789"/>
      <c r="AA188" s="63"/>
      <c r="AB188" s="63"/>
      <c r="AC188" s="63"/>
      <c r="AD188" s="63"/>
      <c r="AE188" s="153"/>
      <c r="AG188" s="63"/>
      <c r="AH188" s="4"/>
    </row>
    <row r="189" spans="2:48">
      <c r="B189" s="99"/>
      <c r="C189" s="542" t="s">
        <v>152</v>
      </c>
      <c r="D189" s="99"/>
      <c r="E189" s="1471"/>
      <c r="F189" s="2418"/>
      <c r="G189" s="2418"/>
      <c r="H189" s="2418"/>
      <c r="I189" s="2419"/>
      <c r="J189" s="2419"/>
      <c r="K189" s="2419"/>
      <c r="L189" s="2419"/>
      <c r="M189" s="2419"/>
      <c r="N189" s="2419"/>
      <c r="O189" s="2419"/>
      <c r="P189" s="2420"/>
      <c r="Q189" s="1358"/>
      <c r="R189" s="4"/>
      <c r="V189" s="44"/>
      <c r="W189" s="44"/>
      <c r="X189" s="789"/>
      <c r="AA189" s="46"/>
      <c r="AB189" s="214"/>
      <c r="AC189" s="204"/>
      <c r="AD189" s="46"/>
      <c r="AE189" s="66"/>
      <c r="AG189" s="32"/>
      <c r="AH189" s="62"/>
      <c r="AI189" s="48"/>
    </row>
    <row r="190" spans="2:48">
      <c r="B190" s="644" t="s">
        <v>636</v>
      </c>
      <c r="C190" s="2303" t="s">
        <v>688</v>
      </c>
      <c r="D190" s="561">
        <v>60</v>
      </c>
      <c r="E190" s="2392">
        <v>4.13</v>
      </c>
      <c r="F190" s="380">
        <v>0.02</v>
      </c>
      <c r="G190" s="380">
        <v>0.01</v>
      </c>
      <c r="H190" s="1384">
        <v>20.75</v>
      </c>
      <c r="I190" s="1359">
        <v>22.1</v>
      </c>
      <c r="J190" s="1359">
        <v>32.700000000000003</v>
      </c>
      <c r="K190" s="1359">
        <v>16.600000000000001</v>
      </c>
      <c r="L190" s="1359">
        <v>0.93</v>
      </c>
      <c r="M190" s="1359">
        <v>61.2</v>
      </c>
      <c r="N190" s="1359">
        <v>2.01E-2</v>
      </c>
      <c r="O190" s="1359">
        <v>0</v>
      </c>
      <c r="P190" s="2393">
        <v>5.2999999999999999E-2</v>
      </c>
      <c r="Q190" s="557">
        <v>6</v>
      </c>
      <c r="R190" s="4"/>
      <c r="V190" s="44"/>
      <c r="W190" s="44"/>
      <c r="X190" s="789"/>
      <c r="AA190" s="1"/>
      <c r="AB190" s="1"/>
      <c r="AC190" s="1"/>
      <c r="AD190" s="1"/>
      <c r="AF190" s="32"/>
      <c r="AG190" s="32"/>
      <c r="AH190" s="4"/>
      <c r="AI190" s="8"/>
    </row>
    <row r="191" spans="2:48" ht="15.75">
      <c r="B191" s="549" t="s">
        <v>951</v>
      </c>
      <c r="C191" s="1613" t="s">
        <v>191</v>
      </c>
      <c r="D191" s="239">
        <v>250</v>
      </c>
      <c r="E191" s="2392">
        <v>2.0099999999999998</v>
      </c>
      <c r="F191" s="380">
        <v>0.12</v>
      </c>
      <c r="G191" s="380">
        <v>0.1</v>
      </c>
      <c r="H191" s="1384">
        <v>20.25</v>
      </c>
      <c r="I191" s="1359">
        <v>10.77</v>
      </c>
      <c r="J191" s="1359">
        <v>20.21</v>
      </c>
      <c r="K191" s="1359">
        <v>8.31</v>
      </c>
      <c r="L191" s="1359">
        <v>1.177</v>
      </c>
      <c r="M191" s="1359">
        <v>79</v>
      </c>
      <c r="N191" s="1359">
        <v>2E-3</v>
      </c>
      <c r="O191" s="1359">
        <v>2.0999999999999999E-3</v>
      </c>
      <c r="P191" s="2393">
        <v>0</v>
      </c>
      <c r="Q191" s="776">
        <v>18</v>
      </c>
      <c r="R191" s="4"/>
      <c r="V191" s="44"/>
      <c r="W191" s="44"/>
      <c r="X191" s="789"/>
      <c r="AA191" s="383"/>
      <c r="AB191" s="720"/>
      <c r="AC191" s="383"/>
      <c r="AD191" s="383"/>
      <c r="AE191" s="153"/>
      <c r="AF191" s="117"/>
      <c r="AG191" s="32"/>
      <c r="AH191" s="4"/>
      <c r="AI191" s="8"/>
    </row>
    <row r="192" spans="2:48">
      <c r="B192" s="552" t="s">
        <v>377</v>
      </c>
      <c r="C192" s="560" t="s">
        <v>376</v>
      </c>
      <c r="D192" s="551" t="s">
        <v>373</v>
      </c>
      <c r="E192" s="2411">
        <v>0.06</v>
      </c>
      <c r="F192" s="1359">
        <v>0.09</v>
      </c>
      <c r="G192" s="1359">
        <v>0.09</v>
      </c>
      <c r="H192" s="1298">
        <v>25.05</v>
      </c>
      <c r="I192" s="1359">
        <v>11.84</v>
      </c>
      <c r="J192" s="1359">
        <v>51.9</v>
      </c>
      <c r="K192" s="1359">
        <v>10.199999999999999</v>
      </c>
      <c r="L192" s="1359">
        <v>1</v>
      </c>
      <c r="M192" s="1359">
        <v>30.7</v>
      </c>
      <c r="N192" s="1359">
        <v>1E-3</v>
      </c>
      <c r="O192" s="1359">
        <v>1E-3</v>
      </c>
      <c r="P192" s="2393">
        <v>1</v>
      </c>
      <c r="Q192" s="557">
        <v>60</v>
      </c>
      <c r="R192" s="4"/>
      <c r="V192" s="44"/>
      <c r="W192" s="222"/>
      <c r="X192" s="789"/>
      <c r="AA192" s="44"/>
      <c r="AB192" s="223"/>
      <c r="AC192" s="44"/>
      <c r="AD192" s="44"/>
      <c r="AE192" s="153"/>
      <c r="AF192" s="32"/>
      <c r="AG192" s="32"/>
      <c r="AH192" s="4"/>
      <c r="AI192" s="8"/>
    </row>
    <row r="193" spans="2:46">
      <c r="B193" s="552" t="s">
        <v>362</v>
      </c>
      <c r="C193" s="1779" t="s">
        <v>334</v>
      </c>
      <c r="D193" s="592">
        <v>180</v>
      </c>
      <c r="E193" s="2414">
        <v>0</v>
      </c>
      <c r="F193" s="381">
        <v>0.09</v>
      </c>
      <c r="G193" s="2415">
        <v>5.2999999999999999E-2</v>
      </c>
      <c r="H193" s="1384">
        <v>0</v>
      </c>
      <c r="I193" s="1359">
        <v>16.09</v>
      </c>
      <c r="J193" s="1359">
        <v>27.74</v>
      </c>
      <c r="K193" s="1359">
        <v>9.3699999999999992</v>
      </c>
      <c r="L193" s="1359">
        <v>0.97099999999999997</v>
      </c>
      <c r="M193" s="1359">
        <v>58.488999999999997</v>
      </c>
      <c r="N193" s="1359">
        <v>0</v>
      </c>
      <c r="O193" s="1359">
        <v>5.7000000000000002E-3</v>
      </c>
      <c r="P193" s="2393">
        <v>0.32700000000000001</v>
      </c>
      <c r="Q193" s="580">
        <v>29</v>
      </c>
      <c r="R193" s="4"/>
      <c r="V193" s="44"/>
      <c r="W193" s="44"/>
      <c r="X193" s="789"/>
      <c r="AA193" s="153"/>
      <c r="AB193" s="147"/>
      <c r="AC193" s="153"/>
      <c r="AD193" s="701"/>
      <c r="AE193" s="153"/>
      <c r="AF193" s="32"/>
      <c r="AG193" s="32"/>
      <c r="AH193" s="4"/>
      <c r="AI193" s="8"/>
    </row>
    <row r="194" spans="2:46">
      <c r="B194" s="558" t="s">
        <v>637</v>
      </c>
      <c r="C194" s="556" t="s">
        <v>219</v>
      </c>
      <c r="D194" s="561">
        <v>200</v>
      </c>
      <c r="E194" s="2392">
        <v>0.02</v>
      </c>
      <c r="F194" s="380">
        <v>0</v>
      </c>
      <c r="G194" s="380">
        <v>0</v>
      </c>
      <c r="H194" s="1384">
        <v>15</v>
      </c>
      <c r="I194" s="1359">
        <v>49.1</v>
      </c>
      <c r="J194" s="1359">
        <v>4.3</v>
      </c>
      <c r="K194" s="1359">
        <v>2.1</v>
      </c>
      <c r="L194" s="1359">
        <v>0.09</v>
      </c>
      <c r="M194" s="1359">
        <v>0.17</v>
      </c>
      <c r="N194" s="1359">
        <v>0</v>
      </c>
      <c r="O194" s="1359">
        <v>0</v>
      </c>
      <c r="P194" s="2393">
        <v>0</v>
      </c>
      <c r="Q194" s="557">
        <v>78</v>
      </c>
      <c r="V194" s="44"/>
      <c r="W194" s="44"/>
      <c r="X194" s="789"/>
      <c r="AA194" s="153"/>
      <c r="AB194" s="153"/>
      <c r="AC194" s="153"/>
      <c r="AD194" s="153"/>
      <c r="AE194" s="153"/>
      <c r="AF194" s="32"/>
      <c r="AG194" s="33"/>
      <c r="AH194" s="4"/>
      <c r="AI194" s="8"/>
    </row>
    <row r="195" spans="2:46">
      <c r="B195" s="558" t="s">
        <v>10</v>
      </c>
      <c r="C195" s="560" t="s">
        <v>11</v>
      </c>
      <c r="D195" s="561">
        <v>60</v>
      </c>
      <c r="E195" s="2392">
        <v>0.12</v>
      </c>
      <c r="F195" s="380">
        <v>0.02</v>
      </c>
      <c r="G195" s="380">
        <v>0.02</v>
      </c>
      <c r="H195" s="1298">
        <v>0</v>
      </c>
      <c r="I195" s="1359">
        <v>95</v>
      </c>
      <c r="J195" s="1359">
        <v>77.400000000000006</v>
      </c>
      <c r="K195" s="1359">
        <v>24.6</v>
      </c>
      <c r="L195" s="2393">
        <v>0.06</v>
      </c>
      <c r="M195" s="2469">
        <v>44.6</v>
      </c>
      <c r="N195" s="1359">
        <v>0</v>
      </c>
      <c r="O195" s="1359">
        <v>0</v>
      </c>
      <c r="P195" s="1359">
        <v>0</v>
      </c>
      <c r="Q195" s="557">
        <v>11</v>
      </c>
      <c r="V195" s="152"/>
      <c r="W195" s="44"/>
      <c r="X195" s="789"/>
      <c r="AA195" s="152"/>
      <c r="AB195" s="152"/>
      <c r="AC195" s="152"/>
      <c r="AD195" s="152"/>
      <c r="AE195" s="153"/>
      <c r="AF195" s="32"/>
      <c r="AH195" s="40"/>
    </row>
    <row r="196" spans="2:46">
      <c r="B196" s="552" t="s">
        <v>10</v>
      </c>
      <c r="C196" s="556" t="s">
        <v>792</v>
      </c>
      <c r="D196" s="551">
        <v>40</v>
      </c>
      <c r="E196" s="2402">
        <v>0</v>
      </c>
      <c r="F196" s="381">
        <v>0.08</v>
      </c>
      <c r="G196" s="381">
        <v>0</v>
      </c>
      <c r="H196" s="1298">
        <v>0</v>
      </c>
      <c r="I196" s="242">
        <v>33.200000000000003</v>
      </c>
      <c r="J196" s="242">
        <v>60.54</v>
      </c>
      <c r="K196" s="242">
        <v>19.68</v>
      </c>
      <c r="L196" s="242">
        <v>0.04</v>
      </c>
      <c r="M196" s="1359">
        <v>57.6</v>
      </c>
      <c r="N196" s="1359">
        <v>1E-3</v>
      </c>
      <c r="O196" s="1359">
        <v>0</v>
      </c>
      <c r="P196" s="2412">
        <v>0</v>
      </c>
      <c r="Q196" s="589">
        <v>12</v>
      </c>
      <c r="V196" s="792"/>
      <c r="W196" s="793"/>
      <c r="X196" s="2310"/>
      <c r="Y196" s="2311"/>
      <c r="Z196" s="22"/>
      <c r="AA196" s="44"/>
      <c r="AB196" s="44"/>
      <c r="AC196" s="44"/>
      <c r="AD196" s="44"/>
      <c r="AE196" s="153"/>
      <c r="AF196" s="32"/>
      <c r="AH196" s="169"/>
    </row>
    <row r="197" spans="2:46" ht="15.75" thickBot="1">
      <c r="B197" s="2560" t="s">
        <v>1004</v>
      </c>
      <c r="C197" s="563" t="s">
        <v>1003</v>
      </c>
      <c r="D197" s="574">
        <v>110</v>
      </c>
      <c r="E197" s="1416">
        <v>11</v>
      </c>
      <c r="F197" s="1370">
        <v>2.4199999999999999E-2</v>
      </c>
      <c r="G197" s="1370">
        <v>2.1999999999999999E-2</v>
      </c>
      <c r="H197" s="2457">
        <v>5.5</v>
      </c>
      <c r="I197" s="1370">
        <v>17.600000000000001</v>
      </c>
      <c r="J197" s="1359">
        <v>12.1</v>
      </c>
      <c r="K197" s="1359">
        <v>9.9</v>
      </c>
      <c r="L197" s="2393">
        <v>2.13</v>
      </c>
      <c r="M197" s="1359">
        <v>58.19</v>
      </c>
      <c r="N197" s="1359">
        <v>0.01</v>
      </c>
      <c r="O197" s="1359">
        <v>0</v>
      </c>
      <c r="P197" s="2412">
        <v>0.29699999999999999</v>
      </c>
      <c r="Q197" s="627">
        <v>73</v>
      </c>
      <c r="V197" s="1289"/>
      <c r="W197" s="1289"/>
      <c r="X197" s="1289"/>
      <c r="Y197" s="2312"/>
      <c r="Z197" s="1"/>
      <c r="AA197" s="44"/>
      <c r="AB197" s="44"/>
      <c r="AC197" s="44"/>
      <c r="AD197" s="44"/>
      <c r="AE197" s="153"/>
      <c r="AF197" s="32"/>
      <c r="AG197" s="32"/>
      <c r="AH197" s="4"/>
      <c r="AI197" s="183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</row>
    <row r="198" spans="2:46">
      <c r="B198" s="565" t="s">
        <v>269</v>
      </c>
      <c r="C198" s="2299"/>
      <c r="D198" s="2302">
        <f>D190+D191+D193+D194+D195+D196+D197+50+50</f>
        <v>1000</v>
      </c>
      <c r="E198" s="575">
        <f>SUM(E190:E197)</f>
        <v>17.34</v>
      </c>
      <c r="F198" s="1353">
        <f>SUM(F190:F197)</f>
        <v>0.44419999999999998</v>
      </c>
      <c r="G198" s="1353">
        <f>SUM(G190:G197)</f>
        <v>0.29500000000000004</v>
      </c>
      <c r="H198" s="1353">
        <f t="shared" ref="H198:P198" si="26">SUM(H190:H197)</f>
        <v>86.55</v>
      </c>
      <c r="I198" s="1353">
        <f t="shared" si="26"/>
        <v>255.70000000000002</v>
      </c>
      <c r="J198" s="1353">
        <f t="shared" si="26"/>
        <v>286.89000000000004</v>
      </c>
      <c r="K198" s="1353">
        <f t="shared" si="26"/>
        <v>100.76000000000002</v>
      </c>
      <c r="L198" s="1353">
        <f t="shared" si="26"/>
        <v>6.3979999999999997</v>
      </c>
      <c r="M198" s="1353">
        <f t="shared" si="26"/>
        <v>389.94900000000001</v>
      </c>
      <c r="N198" s="1353">
        <f t="shared" si="26"/>
        <v>3.4100000000000005E-2</v>
      </c>
      <c r="O198" s="1353">
        <f t="shared" si="26"/>
        <v>8.8000000000000005E-3</v>
      </c>
      <c r="P198" s="1389">
        <f t="shared" si="26"/>
        <v>1.6769999999999998</v>
      </c>
      <c r="Q198" s="1358"/>
      <c r="R198" s="4"/>
      <c r="V198" s="1"/>
      <c r="W198" s="1"/>
      <c r="X198" s="1"/>
      <c r="Y198" s="1"/>
      <c r="Z198" s="1"/>
      <c r="AA198" s="44"/>
      <c r="AB198" s="44"/>
      <c r="AC198" s="223"/>
      <c r="AD198" s="44"/>
      <c r="AE198" s="153"/>
      <c r="AG198" s="32"/>
      <c r="AH198" s="4"/>
      <c r="AI198" s="8"/>
    </row>
    <row r="199" spans="2:46">
      <c r="B199" s="1343"/>
      <c r="C199" s="2298" t="s">
        <v>12</v>
      </c>
      <c r="D199" s="2291">
        <v>0.35</v>
      </c>
      <c r="E199" s="1355">
        <v>24.5</v>
      </c>
      <c r="F199" s="1365">
        <v>0.49</v>
      </c>
      <c r="G199" s="1364">
        <v>0.56000000000000005</v>
      </c>
      <c r="H199" s="1363">
        <v>315</v>
      </c>
      <c r="I199" s="1365">
        <v>420</v>
      </c>
      <c r="J199" s="1364">
        <v>420</v>
      </c>
      <c r="K199" s="1363">
        <v>105</v>
      </c>
      <c r="L199" s="1365">
        <v>6.3</v>
      </c>
      <c r="M199" s="1369">
        <v>420</v>
      </c>
      <c r="N199" s="1365">
        <v>3.5000000000000003E-2</v>
      </c>
      <c r="O199" s="1364">
        <v>1.7500000000000002E-2</v>
      </c>
      <c r="P199" s="1366">
        <v>1.4</v>
      </c>
      <c r="Q199" s="1358"/>
      <c r="R199" s="62"/>
      <c r="V199" s="44"/>
      <c r="W199" s="44"/>
      <c r="X199" s="789"/>
      <c r="AA199" s="46"/>
      <c r="AB199" s="214"/>
      <c r="AC199" s="46"/>
      <c r="AD199" s="46"/>
      <c r="AE199" s="66"/>
      <c r="AG199" s="44"/>
      <c r="AH199" s="4"/>
      <c r="AI199" s="8"/>
    </row>
    <row r="200" spans="2:46" ht="16.5" thickBot="1">
      <c r="B200" s="237"/>
      <c r="C200" s="1347" t="s">
        <v>940</v>
      </c>
      <c r="D200" s="1348" t="s">
        <v>280</v>
      </c>
      <c r="E200" s="1416">
        <f>(E198*100/E210)-35</f>
        <v>-10.228571428571428</v>
      </c>
      <c r="F200" s="1370">
        <f t="shared" ref="F200:P200" si="27">(F198*100/F210)-35</f>
        <v>-3.2714285714285687</v>
      </c>
      <c r="G200" s="1370">
        <f t="shared" si="27"/>
        <v>-16.5625</v>
      </c>
      <c r="H200" s="1370">
        <f>(H198*100/H210)-35</f>
        <v>-25.383333333333333</v>
      </c>
      <c r="I200" s="1370">
        <f t="shared" si="27"/>
        <v>-13.691666666666666</v>
      </c>
      <c r="J200" s="1370">
        <f t="shared" si="27"/>
        <v>-11.092499999999998</v>
      </c>
      <c r="K200" s="1370">
        <f t="shared" si="27"/>
        <v>-1.4133333333333269</v>
      </c>
      <c r="L200" s="1370">
        <f t="shared" si="27"/>
        <v>0.54444444444444429</v>
      </c>
      <c r="M200" s="1370">
        <f t="shared" si="27"/>
        <v>-2.504249999999999</v>
      </c>
      <c r="N200" s="1370">
        <f t="shared" si="27"/>
        <v>-0.89999999999999858</v>
      </c>
      <c r="O200" s="1370">
        <f t="shared" si="27"/>
        <v>-17.400000000000002</v>
      </c>
      <c r="P200" s="1371">
        <f t="shared" si="27"/>
        <v>6.9249999999999972</v>
      </c>
      <c r="Q200" s="1358"/>
      <c r="V200" s="44"/>
      <c r="W200" s="222"/>
      <c r="X200" s="789"/>
      <c r="AA200" s="714"/>
      <c r="AB200" s="434"/>
      <c r="AC200" s="434"/>
      <c r="AD200" s="435"/>
      <c r="AE200" s="435"/>
      <c r="AF200" s="117"/>
      <c r="AJ200" s="20"/>
      <c r="AK200" s="363"/>
      <c r="AM200" s="20"/>
      <c r="AN200" s="20"/>
      <c r="AP200" s="43"/>
      <c r="AT200" s="13"/>
    </row>
    <row r="201" spans="2:46">
      <c r="B201" s="600"/>
      <c r="C201" s="162" t="s">
        <v>324</v>
      </c>
      <c r="D201" s="99"/>
      <c r="E201" s="2422"/>
      <c r="F201" s="1390"/>
      <c r="G201" s="1390"/>
      <c r="H201" s="1390"/>
      <c r="I201" s="2423"/>
      <c r="J201" s="2423"/>
      <c r="K201" s="2423"/>
      <c r="L201" s="2423"/>
      <c r="M201" s="2423"/>
      <c r="N201" s="2423"/>
      <c r="O201" s="2423"/>
      <c r="P201" s="2424"/>
      <c r="Q201" s="1358"/>
      <c r="V201" s="153"/>
      <c r="W201" s="153"/>
      <c r="X201" s="789"/>
      <c r="AA201" s="432"/>
      <c r="AB201" s="432"/>
      <c r="AC201" s="437"/>
      <c r="AD201" s="437"/>
      <c r="AE201" s="438"/>
      <c r="AF201" s="45"/>
    </row>
    <row r="202" spans="2:46" ht="15.75">
      <c r="B202" s="1473" t="s">
        <v>799</v>
      </c>
      <c r="C202" s="582" t="s">
        <v>491</v>
      </c>
      <c r="D202" s="561">
        <v>200</v>
      </c>
      <c r="E202" s="2402">
        <v>3.0539999999999998</v>
      </c>
      <c r="F202" s="381">
        <v>6.0000000000000001E-3</v>
      </c>
      <c r="G202" s="381">
        <v>7.0000000000000001E-3</v>
      </c>
      <c r="H202" s="1465">
        <v>0.94499999999999995</v>
      </c>
      <c r="I202" s="1294">
        <v>4.6940799999999996</v>
      </c>
      <c r="J202" s="1294">
        <v>3.637</v>
      </c>
      <c r="K202" s="1294">
        <v>2.7669999999999999</v>
      </c>
      <c r="L202" s="1294">
        <v>0.65500000000000003</v>
      </c>
      <c r="M202" s="1294">
        <v>89.07</v>
      </c>
      <c r="N202" s="1294">
        <v>0</v>
      </c>
      <c r="O202" s="1294">
        <v>7.0000000000000001E-3</v>
      </c>
      <c r="P202" s="2417">
        <v>0.02</v>
      </c>
      <c r="Q202" s="557">
        <v>93</v>
      </c>
      <c r="R202" s="355"/>
      <c r="V202" s="44"/>
      <c r="W202" s="44"/>
      <c r="X202" s="789"/>
      <c r="AA202" s="1"/>
      <c r="AB202" s="1"/>
      <c r="AC202" s="1"/>
      <c r="AD202" s="1"/>
      <c r="AF202" s="44"/>
      <c r="AJ202" s="20"/>
      <c r="AK202" s="20"/>
      <c r="AM202" s="20"/>
      <c r="AN202" s="20"/>
      <c r="AP202" s="4"/>
    </row>
    <row r="203" spans="2:46" ht="18" customHeight="1">
      <c r="B203" s="2382" t="s">
        <v>210</v>
      </c>
      <c r="C203" s="597" t="s">
        <v>967</v>
      </c>
      <c r="D203" s="551">
        <v>100</v>
      </c>
      <c r="E203" s="2399">
        <v>0.16700000000000001</v>
      </c>
      <c r="F203" s="1294">
        <v>0.12</v>
      </c>
      <c r="G203" s="2400">
        <v>0.14000000000000001</v>
      </c>
      <c r="H203" s="1294">
        <v>10.06</v>
      </c>
      <c r="I203" s="2400">
        <v>76</v>
      </c>
      <c r="J203" s="1294">
        <v>64.760000000000005</v>
      </c>
      <c r="K203" s="2400">
        <v>10.83</v>
      </c>
      <c r="L203" s="1294">
        <v>1</v>
      </c>
      <c r="M203" s="2400">
        <v>80.03</v>
      </c>
      <c r="N203" s="1294">
        <v>1.1000000000000001E-3</v>
      </c>
      <c r="O203" s="2425">
        <v>6.0999999999999997E-4</v>
      </c>
      <c r="P203" s="2417">
        <v>0.22</v>
      </c>
      <c r="Q203" s="589">
        <v>69</v>
      </c>
      <c r="R203" s="4"/>
      <c r="V203" s="792"/>
      <c r="W203" s="793"/>
      <c r="X203" s="2310"/>
      <c r="Y203" s="2311"/>
      <c r="Z203" s="22"/>
      <c r="AF203" s="32"/>
      <c r="AG203" s="364"/>
      <c r="AH203" s="365"/>
      <c r="AI203" s="366"/>
      <c r="AJ203" s="367"/>
      <c r="AK203" s="42"/>
      <c r="AL203" s="42"/>
      <c r="AM203" s="42"/>
      <c r="AN203" s="42"/>
      <c r="AO203" s="42"/>
      <c r="AP203" s="42"/>
      <c r="AQ203" s="364"/>
      <c r="AR203" s="364"/>
      <c r="AS203" s="698"/>
    </row>
    <row r="204" spans="2:46" ht="14.25" customHeight="1">
      <c r="B204" s="1473" t="s">
        <v>10</v>
      </c>
      <c r="C204" s="582" t="s">
        <v>11</v>
      </c>
      <c r="D204" s="561">
        <v>30</v>
      </c>
      <c r="E204" s="2392">
        <v>0.06</v>
      </c>
      <c r="F204" s="380">
        <v>1.2E-2</v>
      </c>
      <c r="G204" s="380">
        <v>0.01</v>
      </c>
      <c r="H204" s="1298">
        <v>0</v>
      </c>
      <c r="I204" s="1359">
        <v>47.5</v>
      </c>
      <c r="J204" s="1359">
        <v>38.700000000000003</v>
      </c>
      <c r="K204" s="380">
        <v>12.3</v>
      </c>
      <c r="L204" s="1359">
        <v>0.03</v>
      </c>
      <c r="M204" s="1359">
        <v>22.3</v>
      </c>
      <c r="N204" s="1359">
        <v>0</v>
      </c>
      <c r="O204" s="1359">
        <v>3.8E-3</v>
      </c>
      <c r="P204" s="2393">
        <v>0</v>
      </c>
      <c r="Q204" s="557">
        <v>11</v>
      </c>
      <c r="R204" s="4"/>
      <c r="AF204" s="32"/>
      <c r="AG204" s="49"/>
      <c r="AH204" s="49"/>
      <c r="AI204" s="49"/>
      <c r="AJ204" s="368"/>
      <c r="AK204" s="49"/>
      <c r="AL204" s="49"/>
      <c r="AM204" s="49"/>
      <c r="AN204" s="49"/>
      <c r="AO204" s="49"/>
      <c r="AP204" s="49"/>
      <c r="AQ204" s="49"/>
      <c r="AR204" s="49"/>
      <c r="AS204" s="49"/>
    </row>
    <row r="205" spans="2:46" ht="12.75" customHeight="1" thickBot="1">
      <c r="B205" s="2296" t="s">
        <v>10</v>
      </c>
      <c r="C205" s="185" t="s">
        <v>395</v>
      </c>
      <c r="D205" s="561">
        <v>21</v>
      </c>
      <c r="E205" s="2426">
        <v>0</v>
      </c>
      <c r="F205" s="2427">
        <v>0</v>
      </c>
      <c r="G205" s="2427">
        <v>0</v>
      </c>
      <c r="H205" s="1400">
        <v>0</v>
      </c>
      <c r="I205" s="2428">
        <v>0</v>
      </c>
      <c r="J205" s="2428">
        <v>0</v>
      </c>
      <c r="K205" s="2427">
        <v>0</v>
      </c>
      <c r="L205" s="2428">
        <v>0</v>
      </c>
      <c r="M205" s="2428">
        <v>0</v>
      </c>
      <c r="N205" s="2428">
        <v>0</v>
      </c>
      <c r="O205" s="2428">
        <v>0</v>
      </c>
      <c r="P205" s="2429">
        <v>0</v>
      </c>
      <c r="Q205" s="1281">
        <v>13</v>
      </c>
      <c r="R205" s="4"/>
      <c r="AE205" s="653"/>
      <c r="AF205" s="32"/>
      <c r="AG205" s="153"/>
      <c r="AH205" s="430"/>
      <c r="AI205" s="153"/>
      <c r="AJ205" s="111"/>
      <c r="AK205" s="153"/>
      <c r="AL205" s="153"/>
      <c r="AM205" s="147"/>
      <c r="AN205" s="430"/>
      <c r="AO205" s="153"/>
      <c r="AP205" s="147"/>
      <c r="AQ205" s="153"/>
      <c r="AR205" s="701"/>
      <c r="AS205" s="153"/>
    </row>
    <row r="206" spans="2:46">
      <c r="B206" s="1404" t="s">
        <v>357</v>
      </c>
      <c r="C206" s="2299"/>
      <c r="D206" s="2304">
        <f>SUM(D202:D205)</f>
        <v>351</v>
      </c>
      <c r="E206" s="575">
        <f t="shared" ref="E206:P206" si="28">SUM(E202:E205)</f>
        <v>3.2809999999999997</v>
      </c>
      <c r="F206" s="1353">
        <f t="shared" si="28"/>
        <v>0.13800000000000001</v>
      </c>
      <c r="G206" s="1353">
        <f t="shared" si="28"/>
        <v>0.15700000000000003</v>
      </c>
      <c r="H206" s="1353">
        <f t="shared" si="28"/>
        <v>11.005000000000001</v>
      </c>
      <c r="I206" s="1353">
        <f t="shared" si="28"/>
        <v>128.19407999999999</v>
      </c>
      <c r="J206" s="1353">
        <f t="shared" si="28"/>
        <v>107.09700000000001</v>
      </c>
      <c r="K206" s="1353">
        <f t="shared" si="28"/>
        <v>25.896999999999998</v>
      </c>
      <c r="L206" s="1353">
        <f t="shared" si="28"/>
        <v>1.6850000000000001</v>
      </c>
      <c r="M206" s="1353">
        <f t="shared" si="28"/>
        <v>191.4</v>
      </c>
      <c r="N206" s="1353">
        <f t="shared" si="28"/>
        <v>1.1000000000000001E-3</v>
      </c>
      <c r="O206" s="1353">
        <f>SUM(O202:O205)</f>
        <v>1.141E-2</v>
      </c>
      <c r="P206" s="1405">
        <f t="shared" si="28"/>
        <v>0.24</v>
      </c>
      <c r="Q206" s="360"/>
      <c r="AE206" s="689"/>
      <c r="AF206" s="32"/>
      <c r="AG206" s="705"/>
      <c r="AH206" s="705"/>
      <c r="AI206" s="705"/>
      <c r="AJ206" s="713"/>
      <c r="AK206" s="705"/>
      <c r="AL206" s="705"/>
      <c r="AM206" s="705"/>
      <c r="AN206" s="705"/>
      <c r="AO206" s="706"/>
      <c r="AP206" s="706"/>
      <c r="AQ206" s="705"/>
      <c r="AR206" s="705"/>
      <c r="AS206" s="705"/>
    </row>
    <row r="207" spans="2:46">
      <c r="B207" s="513"/>
      <c r="C207" s="1368" t="s">
        <v>12</v>
      </c>
      <c r="D207" s="2261">
        <v>0.1</v>
      </c>
      <c r="E207" s="1355">
        <v>7</v>
      </c>
      <c r="F207" s="1365">
        <v>0.14000000000000001</v>
      </c>
      <c r="G207" s="1364">
        <v>0.16</v>
      </c>
      <c r="H207" s="1363">
        <v>90</v>
      </c>
      <c r="I207" s="1365">
        <v>120</v>
      </c>
      <c r="J207" s="1364">
        <v>120</v>
      </c>
      <c r="K207" s="1363">
        <v>30</v>
      </c>
      <c r="L207" s="1365">
        <v>1.8</v>
      </c>
      <c r="M207" s="1369">
        <v>120</v>
      </c>
      <c r="N207" s="1365">
        <v>0.01</v>
      </c>
      <c r="O207" s="1364">
        <v>5.0000000000000001E-3</v>
      </c>
      <c r="P207" s="1366">
        <v>0.4</v>
      </c>
      <c r="Q207" s="360"/>
      <c r="AF207" s="30"/>
    </row>
    <row r="208" spans="2:46" ht="15.75" thickBot="1">
      <c r="B208" s="237"/>
      <c r="C208" s="1347" t="s">
        <v>940</v>
      </c>
      <c r="D208" s="1348" t="s">
        <v>280</v>
      </c>
      <c r="E208" s="2265">
        <f t="shared" ref="E208:P208" si="29">(E206*100/E210)-10</f>
        <v>-5.3128571428571432</v>
      </c>
      <c r="F208" s="2266">
        <f t="shared" si="29"/>
        <v>-0.14285714285714235</v>
      </c>
      <c r="G208" s="2266">
        <f t="shared" si="29"/>
        <v>-0.18749999999999822</v>
      </c>
      <c r="H208" s="2266">
        <f t="shared" si="29"/>
        <v>-8.7772222222222229</v>
      </c>
      <c r="I208" s="2266">
        <f t="shared" si="29"/>
        <v>0.68283999999999878</v>
      </c>
      <c r="J208" s="2266">
        <f t="shared" si="29"/>
        <v>-1.0752499999999987</v>
      </c>
      <c r="K208" s="2266">
        <f t="shared" si="29"/>
        <v>-1.3676666666666666</v>
      </c>
      <c r="L208" s="2266">
        <f t="shared" si="29"/>
        <v>-0.63888888888888928</v>
      </c>
      <c r="M208" s="2266">
        <f t="shared" si="29"/>
        <v>5.9499999999999993</v>
      </c>
      <c r="N208" s="2266">
        <f t="shared" si="29"/>
        <v>-8.9</v>
      </c>
      <c r="O208" s="2266">
        <f t="shared" si="29"/>
        <v>12.82</v>
      </c>
      <c r="P208" s="2267">
        <f t="shared" si="29"/>
        <v>-4</v>
      </c>
      <c r="Q208" s="360"/>
      <c r="AE208" s="119"/>
      <c r="AP208" s="43"/>
      <c r="AR208" s="43"/>
    </row>
    <row r="209" spans="2:44" ht="17.25" customHeight="1" thickBot="1"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207"/>
      <c r="Q209" s="360"/>
      <c r="AE209" s="63"/>
      <c r="AJ209" s="715"/>
      <c r="AR209" s="43"/>
    </row>
    <row r="210" spans="2:44" ht="15.75" thickBot="1">
      <c r="B210" s="2369" t="s">
        <v>959</v>
      </c>
      <c r="C210" s="2262"/>
      <c r="D210" s="2263">
        <v>1</v>
      </c>
      <c r="E210" s="2407">
        <v>70</v>
      </c>
      <c r="F210" s="2408">
        <v>1.4</v>
      </c>
      <c r="G210" s="2408">
        <v>1.6</v>
      </c>
      <c r="H210" s="2264">
        <v>900</v>
      </c>
      <c r="I210" s="2405">
        <v>1200</v>
      </c>
      <c r="J210" s="2406">
        <v>1200</v>
      </c>
      <c r="K210" s="2406">
        <v>300</v>
      </c>
      <c r="L210" s="2409">
        <v>18</v>
      </c>
      <c r="M210" s="2405">
        <v>1200</v>
      </c>
      <c r="N210" s="2409">
        <v>0.1</v>
      </c>
      <c r="O210" s="2409">
        <v>0.05</v>
      </c>
      <c r="P210" s="2410">
        <v>4</v>
      </c>
      <c r="Q210" s="360"/>
      <c r="AE210" s="153"/>
      <c r="AF210" s="44"/>
      <c r="AG210" s="32"/>
      <c r="AH210" s="4"/>
      <c r="AI210" s="8"/>
    </row>
    <row r="211" spans="2:44" ht="17.25" customHeight="1" thickBot="1"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360"/>
      <c r="R211" s="18"/>
      <c r="V211" s="785"/>
      <c r="W211" s="175"/>
      <c r="X211" s="786"/>
      <c r="Y211" s="349"/>
      <c r="Z211" s="1"/>
      <c r="AA211" s="44"/>
      <c r="AB211" s="44"/>
      <c r="AC211" s="44"/>
      <c r="AD211" s="44"/>
      <c r="AE211" s="153"/>
      <c r="AF211" s="32"/>
      <c r="AG211" s="21"/>
      <c r="AH211" s="16"/>
      <c r="AI211" s="17"/>
    </row>
    <row r="212" spans="2:44">
      <c r="B212" s="1021"/>
      <c r="C212" s="34" t="s">
        <v>481</v>
      </c>
      <c r="D212" s="35"/>
      <c r="E212" s="145">
        <f>E186+E198</f>
        <v>34.298000000000002</v>
      </c>
      <c r="F212" s="243">
        <f t="shared" ref="F212:P212" si="30">F186+F198</f>
        <v>0.81390000000000007</v>
      </c>
      <c r="G212" s="243">
        <f t="shared" si="30"/>
        <v>0.63270000000000004</v>
      </c>
      <c r="H212" s="243">
        <f t="shared" si="30"/>
        <v>311.55</v>
      </c>
      <c r="I212" s="243">
        <f t="shared" si="30"/>
        <v>480.61340000000007</v>
      </c>
      <c r="J212" s="243">
        <f t="shared" si="30"/>
        <v>597.52</v>
      </c>
      <c r="K212" s="243">
        <f t="shared" si="30"/>
        <v>182.89200000000002</v>
      </c>
      <c r="L212" s="243">
        <f t="shared" si="30"/>
        <v>12.086</v>
      </c>
      <c r="M212" s="243">
        <f t="shared" si="30"/>
        <v>689.95</v>
      </c>
      <c r="N212" s="243">
        <f t="shared" si="30"/>
        <v>7.0099999999999996E-2</v>
      </c>
      <c r="O212" s="243">
        <f t="shared" si="30"/>
        <v>2.002E-2</v>
      </c>
      <c r="P212" s="1024">
        <f t="shared" si="30"/>
        <v>2.6769999999999996</v>
      </c>
      <c r="Q212" s="360"/>
      <c r="R212" s="94"/>
      <c r="V212" s="787"/>
      <c r="W212" s="18"/>
      <c r="X212" s="349"/>
      <c r="Y212" s="349"/>
      <c r="Z212" s="1"/>
      <c r="AA212" s="44"/>
      <c r="AB212" s="44"/>
      <c r="AC212" s="44"/>
      <c r="AD212" s="44"/>
      <c r="AE212" s="153"/>
      <c r="AF212" s="32"/>
      <c r="AH212" s="169"/>
    </row>
    <row r="213" spans="2:44" ht="15.75" thickBot="1">
      <c r="B213" s="237"/>
      <c r="C213" s="1022" t="s">
        <v>12</v>
      </c>
      <c r="D213" s="2261">
        <v>0.6</v>
      </c>
      <c r="E213" s="1355">
        <v>42</v>
      </c>
      <c r="F213" s="1365">
        <v>0.84</v>
      </c>
      <c r="G213" s="1364">
        <v>0.96</v>
      </c>
      <c r="H213" s="1363">
        <v>540</v>
      </c>
      <c r="I213" s="1365">
        <v>720</v>
      </c>
      <c r="J213" s="1364">
        <v>720</v>
      </c>
      <c r="K213" s="1363">
        <v>180</v>
      </c>
      <c r="L213" s="1365">
        <v>10.8</v>
      </c>
      <c r="M213" s="1369">
        <v>720</v>
      </c>
      <c r="N213" s="1365">
        <v>0.06</v>
      </c>
      <c r="O213" s="1364">
        <v>0.03</v>
      </c>
      <c r="P213" s="1366">
        <v>2.4</v>
      </c>
      <c r="Q213" s="360"/>
      <c r="R213" s="169"/>
      <c r="V213" s="44"/>
      <c r="W213" s="111"/>
      <c r="X213" s="722"/>
      <c r="Y213" s="788"/>
      <c r="Z213" s="1"/>
      <c r="AA213" s="44"/>
      <c r="AB213" s="44"/>
      <c r="AC213" s="223"/>
      <c r="AD213" s="44"/>
      <c r="AE213" s="153"/>
      <c r="AF213" s="32"/>
      <c r="AG213" s="30"/>
      <c r="AH213" s="4"/>
      <c r="AI213" s="9"/>
    </row>
    <row r="214" spans="2:44" ht="15.75" customHeight="1" thickBot="1">
      <c r="B214" s="237"/>
      <c r="C214" s="1347" t="s">
        <v>940</v>
      </c>
      <c r="D214" s="1356" t="s">
        <v>280</v>
      </c>
      <c r="E214" s="1406">
        <f>(E212*100/E210)-60</f>
        <v>-11.002857142857138</v>
      </c>
      <c r="F214" s="1357">
        <f t="shared" ref="F214:P214" si="31">(F212*100/F210)-60</f>
        <v>-1.8642857142857068</v>
      </c>
      <c r="G214" s="1357">
        <f t="shared" si="31"/>
        <v>-20.456249999999997</v>
      </c>
      <c r="H214" s="1357">
        <f t="shared" si="31"/>
        <v>-25.383333333333333</v>
      </c>
      <c r="I214" s="1357">
        <f t="shared" si="31"/>
        <v>-19.948883333333328</v>
      </c>
      <c r="J214" s="1357">
        <f t="shared" si="31"/>
        <v>-10.206666666666663</v>
      </c>
      <c r="K214" s="1357">
        <f t="shared" si="31"/>
        <v>0.96400000000000574</v>
      </c>
      <c r="L214" s="1357">
        <f t="shared" si="31"/>
        <v>7.1444444444444457</v>
      </c>
      <c r="M214" s="1357">
        <f t="shared" si="31"/>
        <v>-2.50416666666667</v>
      </c>
      <c r="N214" s="1357">
        <f t="shared" si="31"/>
        <v>10.099999999999994</v>
      </c>
      <c r="O214" s="1357">
        <f t="shared" si="31"/>
        <v>-19.960000000000008</v>
      </c>
      <c r="P214" s="1407">
        <f t="shared" si="31"/>
        <v>6.9249999999999829</v>
      </c>
      <c r="Q214" s="360"/>
      <c r="R214" s="4"/>
      <c r="V214" s="44"/>
      <c r="W214" s="111"/>
      <c r="X214" s="722"/>
      <c r="Y214" s="721"/>
      <c r="Z214" s="1"/>
      <c r="AA214" s="46"/>
      <c r="AB214" s="214"/>
      <c r="AC214" s="204"/>
      <c r="AD214" s="46"/>
      <c r="AE214" s="66"/>
      <c r="AF214" s="32"/>
      <c r="AG214" s="32"/>
      <c r="AH214" s="4"/>
      <c r="AI214" s="9"/>
    </row>
    <row r="215" spans="2:44">
      <c r="B215" s="1021"/>
      <c r="C215" s="34" t="s">
        <v>480</v>
      </c>
      <c r="D215" s="35"/>
      <c r="E215" s="145">
        <f>E198+E206</f>
        <v>20.620999999999999</v>
      </c>
      <c r="F215" s="243">
        <f t="shared" ref="F215:P215" si="32">F198+F206</f>
        <v>0.58220000000000005</v>
      </c>
      <c r="G215" s="243">
        <f t="shared" si="32"/>
        <v>0.45200000000000007</v>
      </c>
      <c r="H215" s="243">
        <f t="shared" si="32"/>
        <v>97.554999999999993</v>
      </c>
      <c r="I215" s="243">
        <f t="shared" si="32"/>
        <v>383.89408000000003</v>
      </c>
      <c r="J215" s="243">
        <f t="shared" si="32"/>
        <v>393.98700000000008</v>
      </c>
      <c r="K215" s="243">
        <f t="shared" si="32"/>
        <v>126.65700000000001</v>
      </c>
      <c r="L215" s="243">
        <f t="shared" si="32"/>
        <v>8.0830000000000002</v>
      </c>
      <c r="M215" s="243">
        <f t="shared" si="32"/>
        <v>581.34900000000005</v>
      </c>
      <c r="N215" s="243">
        <f t="shared" si="32"/>
        <v>3.5200000000000002E-2</v>
      </c>
      <c r="O215" s="243">
        <f t="shared" si="32"/>
        <v>2.0209999999999999E-2</v>
      </c>
      <c r="P215" s="1024">
        <f t="shared" si="32"/>
        <v>1.9169999999999998</v>
      </c>
      <c r="Q215" s="360"/>
      <c r="R215" s="116"/>
      <c r="V215" s="44"/>
      <c r="W215" s="111"/>
      <c r="X215" s="3"/>
      <c r="Y215" s="721"/>
      <c r="Z215" s="1"/>
      <c r="AA215" s="1"/>
      <c r="AB215" s="1"/>
      <c r="AC215" s="1"/>
      <c r="AD215" s="1"/>
      <c r="AF215" s="30"/>
      <c r="AG215" s="32"/>
      <c r="AH215" s="13"/>
      <c r="AI215" s="150"/>
    </row>
    <row r="216" spans="2:44">
      <c r="B216" s="513"/>
      <c r="C216" s="1368" t="s">
        <v>12</v>
      </c>
      <c r="D216" s="2261">
        <v>0.45</v>
      </c>
      <c r="E216" s="1355">
        <v>31.5</v>
      </c>
      <c r="F216" s="1365">
        <v>0.63</v>
      </c>
      <c r="G216" s="1364">
        <v>0.72</v>
      </c>
      <c r="H216" s="1364">
        <v>405</v>
      </c>
      <c r="I216" s="1365">
        <v>540</v>
      </c>
      <c r="J216" s="1364">
        <v>540</v>
      </c>
      <c r="K216" s="1364">
        <v>135</v>
      </c>
      <c r="L216" s="1365">
        <v>8.1</v>
      </c>
      <c r="M216" s="1365">
        <v>540</v>
      </c>
      <c r="N216" s="1365">
        <v>4.4999999999999998E-2</v>
      </c>
      <c r="O216" s="1364">
        <v>2.2499999999999999E-2</v>
      </c>
      <c r="P216" s="1366">
        <v>1.8</v>
      </c>
      <c r="Q216" s="360"/>
      <c r="R216" s="4"/>
      <c r="V216" s="44"/>
      <c r="W216" s="111"/>
      <c r="X216" s="722"/>
      <c r="Y216" s="721"/>
      <c r="Z216" s="1"/>
      <c r="AA216" s="44"/>
      <c r="AB216" s="223"/>
      <c r="AC216" s="44"/>
      <c r="AD216" s="44"/>
      <c r="AE216" s="153"/>
      <c r="AG216" s="385"/>
      <c r="AH216" s="13"/>
      <c r="AI216" s="22"/>
    </row>
    <row r="217" spans="2:44" ht="12.75" customHeight="1" thickBot="1">
      <c r="B217" s="237"/>
      <c r="C217" s="1347" t="s">
        <v>727</v>
      </c>
      <c r="D217" s="1348" t="s">
        <v>280</v>
      </c>
      <c r="E217" s="2274">
        <f>(E215*100/E210)-45</f>
        <v>-15.541428571428572</v>
      </c>
      <c r="F217" s="2266">
        <f t="shared" ref="F217:P217" si="33">(F215*100/F210)-45</f>
        <v>-3.4142857142857039</v>
      </c>
      <c r="G217" s="2266">
        <f t="shared" si="33"/>
        <v>-16.749999999999996</v>
      </c>
      <c r="H217" s="2266">
        <f t="shared" si="33"/>
        <v>-34.160555555555554</v>
      </c>
      <c r="I217" s="2266">
        <f t="shared" si="33"/>
        <v>-13.008826666666664</v>
      </c>
      <c r="J217" s="2266">
        <f t="shared" si="33"/>
        <v>-12.167749999999991</v>
      </c>
      <c r="K217" s="2266">
        <f t="shared" si="33"/>
        <v>-2.7809999999999988</v>
      </c>
      <c r="L217" s="2266">
        <f t="shared" si="33"/>
        <v>-9.4444444444441444E-2</v>
      </c>
      <c r="M217" s="2266">
        <f t="shared" si="33"/>
        <v>3.4457500000000039</v>
      </c>
      <c r="N217" s="2266">
        <f t="shared" si="33"/>
        <v>-9.8000000000000043</v>
      </c>
      <c r="O217" s="2268">
        <f t="shared" si="33"/>
        <v>-4.5800000000000054</v>
      </c>
      <c r="P217" s="2267">
        <f t="shared" si="33"/>
        <v>2.9249999999999972</v>
      </c>
      <c r="Q217" s="360"/>
      <c r="R217" s="4"/>
      <c r="V217" s="44"/>
      <c r="W217" s="111"/>
      <c r="X217" s="722"/>
      <c r="Y217" s="721"/>
      <c r="Z217" s="1"/>
      <c r="AA217" s="44"/>
      <c r="AB217" s="223"/>
      <c r="AC217" s="44"/>
      <c r="AD217" s="44"/>
      <c r="AE217" s="119"/>
      <c r="AG217" s="385"/>
      <c r="AH217" s="13"/>
      <c r="AI217" s="22"/>
    </row>
    <row r="218" spans="2:44" ht="13.5" customHeight="1">
      <c r="B218" s="1372" t="s">
        <v>728</v>
      </c>
      <c r="C218" s="34"/>
      <c r="D218" s="35"/>
      <c r="E218" s="1408">
        <f>E186+E198+E206</f>
        <v>37.579000000000001</v>
      </c>
      <c r="F218" s="1361">
        <f t="shared" ref="F218:P218" si="34">F186+F198+F206</f>
        <v>0.95190000000000008</v>
      </c>
      <c r="G218" s="1361">
        <f t="shared" si="34"/>
        <v>0.78970000000000007</v>
      </c>
      <c r="H218" s="1361">
        <f t="shared" si="34"/>
        <v>322.55500000000001</v>
      </c>
      <c r="I218" s="1361">
        <f t="shared" si="34"/>
        <v>608.80748000000006</v>
      </c>
      <c r="J218" s="1361">
        <f t="shared" si="34"/>
        <v>704.61699999999996</v>
      </c>
      <c r="K218" s="1361">
        <f t="shared" si="34"/>
        <v>208.78900000000002</v>
      </c>
      <c r="L218" s="1361">
        <f t="shared" si="34"/>
        <v>13.771000000000001</v>
      </c>
      <c r="M218" s="1361">
        <f t="shared" si="34"/>
        <v>881.35</v>
      </c>
      <c r="N218" s="1361">
        <f t="shared" si="34"/>
        <v>7.1199999999999999E-2</v>
      </c>
      <c r="O218" s="1361">
        <f t="shared" si="34"/>
        <v>3.143E-2</v>
      </c>
      <c r="P218" s="1409">
        <f t="shared" si="34"/>
        <v>2.9169999999999998</v>
      </c>
      <c r="Q218" s="360"/>
      <c r="R218" s="4"/>
      <c r="V218" s="44"/>
      <c r="W218" s="111"/>
      <c r="X218" s="722"/>
      <c r="Y218" s="721"/>
      <c r="Z218" s="1"/>
      <c r="AA218" s="153"/>
      <c r="AB218" s="147"/>
      <c r="AC218" s="153"/>
      <c r="AD218" s="701"/>
      <c r="AE218" s="153"/>
      <c r="AG218" s="33"/>
      <c r="AH218" s="4"/>
      <c r="AI218" s="9"/>
    </row>
    <row r="219" spans="2:44" ht="12.75" customHeight="1">
      <c r="B219" s="1343"/>
      <c r="C219" s="1344" t="s">
        <v>12</v>
      </c>
      <c r="D219" s="2261">
        <v>0.7</v>
      </c>
      <c r="E219" s="1355">
        <v>49</v>
      </c>
      <c r="F219" s="1365">
        <v>0.98</v>
      </c>
      <c r="G219" s="1364">
        <v>1.1200000000000001</v>
      </c>
      <c r="H219" s="1364">
        <v>630</v>
      </c>
      <c r="I219" s="1365">
        <v>840</v>
      </c>
      <c r="J219" s="1364">
        <v>840</v>
      </c>
      <c r="K219" s="1364">
        <v>210</v>
      </c>
      <c r="L219" s="1365">
        <v>12.6</v>
      </c>
      <c r="M219" s="1365">
        <v>840</v>
      </c>
      <c r="N219" s="1365">
        <v>7.0000000000000007E-2</v>
      </c>
      <c r="O219" s="1364">
        <v>3.5000000000000003E-2</v>
      </c>
      <c r="P219" s="1366">
        <v>2.8</v>
      </c>
      <c r="Q219" s="360"/>
      <c r="R219" s="4"/>
      <c r="V219" s="44"/>
      <c r="W219" s="111"/>
      <c r="X219" s="360"/>
      <c r="Y219" s="733"/>
      <c r="Z219" s="1"/>
      <c r="AA219" s="153"/>
      <c r="AB219" s="153"/>
      <c r="AC219" s="153"/>
      <c r="AD219" s="153"/>
      <c r="AE219" s="153"/>
      <c r="AH219" s="40"/>
    </row>
    <row r="220" spans="2:44" ht="15.75" customHeight="1" thickBot="1">
      <c r="B220" s="237"/>
      <c r="C220" s="1347" t="s">
        <v>940</v>
      </c>
      <c r="D220" s="1356" t="s">
        <v>280</v>
      </c>
      <c r="E220" s="2274">
        <f>(E218*100/E210)-70</f>
        <v>-16.315714285714286</v>
      </c>
      <c r="F220" s="2266">
        <f t="shared" ref="F220:P220" si="35">(F218*100/F210)-70</f>
        <v>-2.0071428571428385</v>
      </c>
      <c r="G220" s="2266">
        <f t="shared" si="35"/>
        <v>-20.643749999999997</v>
      </c>
      <c r="H220" s="2266">
        <f t="shared" si="35"/>
        <v>-34.160555555555554</v>
      </c>
      <c r="I220" s="2266">
        <f t="shared" si="35"/>
        <v>-19.266043333333329</v>
      </c>
      <c r="J220" s="2266">
        <f t="shared" si="35"/>
        <v>-11.281916666666667</v>
      </c>
      <c r="K220" s="2266">
        <f t="shared" si="35"/>
        <v>-0.40366666666666617</v>
      </c>
      <c r="L220" s="2266">
        <f t="shared" si="35"/>
        <v>6.50555555555556</v>
      </c>
      <c r="M220" s="2266">
        <f t="shared" si="35"/>
        <v>3.44583333333334</v>
      </c>
      <c r="N220" s="2266">
        <f t="shared" si="35"/>
        <v>1.2000000000000028</v>
      </c>
      <c r="O220" s="2268">
        <f t="shared" si="35"/>
        <v>-7.1400000000000077</v>
      </c>
      <c r="P220" s="2267">
        <f t="shared" si="35"/>
        <v>2.9249999999999972</v>
      </c>
      <c r="Q220" s="360"/>
      <c r="V220" s="795"/>
      <c r="W220" s="796"/>
      <c r="X220" s="203"/>
      <c r="Y220" s="154"/>
      <c r="Z220" s="1"/>
      <c r="AA220" s="44"/>
      <c r="AB220" s="44"/>
      <c r="AC220" s="44"/>
      <c r="AD220" s="44"/>
      <c r="AE220" s="153"/>
      <c r="AG220" s="63"/>
      <c r="AH220" s="169"/>
    </row>
    <row r="221" spans="2:44">
      <c r="E221" s="1375"/>
      <c r="F221" s="1375"/>
      <c r="G221" s="1375"/>
      <c r="H221" s="1375"/>
      <c r="I221" s="1375"/>
      <c r="J221" s="1375"/>
      <c r="K221" s="1375"/>
      <c r="L221" s="1375"/>
      <c r="M221" s="1375"/>
      <c r="N221" s="1375"/>
      <c r="O221" s="1375"/>
      <c r="P221" s="1375"/>
      <c r="Q221" s="1375"/>
      <c r="V221" s="1"/>
      <c r="W221" s="1"/>
      <c r="X221" s="210"/>
      <c r="Y221" s="169"/>
      <c r="Z221" s="1"/>
      <c r="AA221" s="44"/>
      <c r="AB221" s="44"/>
      <c r="AC221" s="44"/>
      <c r="AD221" s="44"/>
      <c r="AE221" s="153"/>
      <c r="AG221" s="119"/>
      <c r="AH221" s="116"/>
      <c r="AI221" s="150"/>
    </row>
    <row r="222" spans="2:44" ht="15" customHeight="1">
      <c r="D222" s="9"/>
      <c r="E222" s="44"/>
      <c r="F222" s="44"/>
      <c r="G222" s="44"/>
      <c r="H222" s="789"/>
      <c r="I222" s="153"/>
      <c r="J222" s="153"/>
      <c r="K222" s="44"/>
      <c r="L222" s="153"/>
      <c r="M222" s="153"/>
      <c r="N222" s="153"/>
      <c r="O222" s="153"/>
      <c r="P222" s="153"/>
      <c r="Q222" s="1410"/>
      <c r="R222" s="169"/>
      <c r="V222" s="1"/>
      <c r="W222" s="1"/>
      <c r="X222" s="1"/>
      <c r="Y222" s="1"/>
      <c r="Z222" s="1"/>
      <c r="AA222" s="44"/>
      <c r="AB222" s="44"/>
      <c r="AC222" s="44"/>
      <c r="AD222" s="44"/>
      <c r="AE222" s="153"/>
      <c r="AG222" s="32"/>
      <c r="AH222" s="4"/>
      <c r="AI222" s="8"/>
    </row>
    <row r="223" spans="2:44" ht="16.5" customHeight="1">
      <c r="D223" s="5" t="s">
        <v>286</v>
      </c>
      <c r="P223"/>
      <c r="Q223" s="360"/>
      <c r="R223" s="4"/>
      <c r="V223" s="44"/>
      <c r="W223" s="111"/>
      <c r="X223" s="722"/>
      <c r="Y223" s="721"/>
      <c r="Z223" s="1"/>
      <c r="AA223" s="46"/>
      <c r="AB223" s="214"/>
      <c r="AC223" s="46"/>
      <c r="AD223" s="46"/>
      <c r="AE223" s="66"/>
      <c r="AG223" s="32"/>
      <c r="AH223" s="4"/>
      <c r="AI223" s="9"/>
    </row>
    <row r="224" spans="2:44" ht="20.25" customHeight="1">
      <c r="C224" s="1300" t="s">
        <v>695</v>
      </c>
      <c r="D224"/>
      <c r="E224" s="32"/>
      <c r="P224"/>
      <c r="Q224" s="360"/>
      <c r="R224" s="4"/>
      <c r="V224" s="44"/>
      <c r="W224" s="111"/>
      <c r="X224" s="722"/>
      <c r="Y224" s="733"/>
      <c r="Z224" s="1"/>
      <c r="AA224" s="714"/>
      <c r="AB224" s="434"/>
      <c r="AC224" s="434"/>
      <c r="AD224" s="435"/>
      <c r="AE224" s="435"/>
      <c r="AG224" s="45"/>
      <c r="AH224" s="4"/>
      <c r="AI224" s="3"/>
    </row>
    <row r="225" spans="2:46" ht="14.25" customHeight="1">
      <c r="C225" s="7" t="s">
        <v>754</v>
      </c>
      <c r="D225" s="8"/>
      <c r="E225" s="2"/>
      <c r="F225"/>
      <c r="P225"/>
      <c r="Q225" s="360"/>
      <c r="R225" s="4"/>
      <c r="V225" s="44"/>
      <c r="W225" s="111"/>
      <c r="X225" s="722"/>
      <c r="Y225" s="721"/>
      <c r="Z225" s="1"/>
      <c r="AA225" s="432"/>
      <c r="AB225" s="432"/>
      <c r="AC225" s="437"/>
      <c r="AD225" s="437"/>
      <c r="AE225" s="438"/>
      <c r="AG225" s="32"/>
      <c r="AH225" s="4"/>
      <c r="AI225" s="9"/>
    </row>
    <row r="226" spans="2:46" ht="18" customHeight="1">
      <c r="E226" s="1300" t="s">
        <v>694</v>
      </c>
      <c r="F226"/>
      <c r="G226" s="19"/>
      <c r="H226" s="19"/>
      <c r="K226" s="94"/>
      <c r="P226"/>
      <c r="Q226" s="360"/>
      <c r="R226" s="4"/>
      <c r="V226" s="44"/>
      <c r="W226" s="111"/>
      <c r="X226" s="722"/>
      <c r="Y226" s="721"/>
      <c r="Z226" s="1"/>
      <c r="AA226" s="22"/>
      <c r="AB226" s="22"/>
      <c r="AC226" s="22"/>
      <c r="AD226" s="22"/>
      <c r="AE226" s="22"/>
      <c r="AG226" s="32"/>
      <c r="AH226" s="4"/>
      <c r="AI226" s="9"/>
    </row>
    <row r="227" spans="2:46">
      <c r="C227" s="1" t="s">
        <v>359</v>
      </c>
      <c r="K227" s="32"/>
      <c r="P227"/>
      <c r="Q227" s="360"/>
      <c r="R227" s="8"/>
      <c r="V227" s="44"/>
      <c r="W227" s="111"/>
      <c r="X227" s="722"/>
      <c r="Y227" s="721"/>
      <c r="Z227" s="1"/>
      <c r="AA227" s="1"/>
      <c r="AB227" s="1"/>
      <c r="AC227" s="1"/>
      <c r="AD227" s="1"/>
      <c r="AG227" s="32"/>
      <c r="AH227" s="4"/>
      <c r="AI227" s="9"/>
    </row>
    <row r="228" spans="2:46">
      <c r="C228" s="19" t="s">
        <v>282</v>
      </c>
      <c r="K228" s="45"/>
      <c r="P228"/>
      <c r="Q228" s="360"/>
      <c r="R228" s="4"/>
      <c r="V228" s="44"/>
      <c r="W228" s="111"/>
      <c r="X228" s="722"/>
      <c r="Y228" s="721"/>
      <c r="Z228" s="1"/>
      <c r="AH228" s="40"/>
    </row>
    <row r="229" spans="2:46" ht="15.75">
      <c r="B229" s="43" t="s">
        <v>698</v>
      </c>
      <c r="C229" s="13"/>
      <c r="D229"/>
      <c r="J229" s="20" t="s">
        <v>0</v>
      </c>
      <c r="K229"/>
      <c r="L229" s="2" t="s">
        <v>317</v>
      </c>
      <c r="M229" s="13"/>
      <c r="N229" s="13"/>
      <c r="O229" s="24"/>
      <c r="Q229" s="360"/>
      <c r="R229" s="433"/>
      <c r="V229" s="210"/>
      <c r="W229" s="799"/>
      <c r="X229" s="203"/>
      <c r="Y229" s="154"/>
      <c r="Z229" s="1"/>
    </row>
    <row r="230" spans="2:46" ht="21.75" thickBot="1">
      <c r="C230" s="94" t="s">
        <v>733</v>
      </c>
      <c r="D230" s="23" t="s">
        <v>1</v>
      </c>
      <c r="E230"/>
      <c r="F230"/>
      <c r="H230" s="19"/>
      <c r="P230"/>
      <c r="Q230" s="360"/>
      <c r="R230" s="433"/>
      <c r="X230" s="210"/>
      <c r="Y230" s="169"/>
      <c r="Z230" s="1"/>
      <c r="AA230" s="1"/>
      <c r="AB230" s="1"/>
      <c r="AC230" s="1"/>
      <c r="AD230" s="1"/>
    </row>
    <row r="231" spans="2:46" ht="15.75" thickBot="1">
      <c r="B231" s="1304" t="s">
        <v>700</v>
      </c>
      <c r="C231" s="99"/>
      <c r="D231" s="1376" t="s">
        <v>251</v>
      </c>
      <c r="E231" s="1306" t="s">
        <v>701</v>
      </c>
      <c r="F231" s="1307"/>
      <c r="G231" s="1307"/>
      <c r="H231" s="1308"/>
      <c r="I231" s="1309" t="s">
        <v>730</v>
      </c>
      <c r="J231" s="31"/>
      <c r="K231" s="1310"/>
      <c r="L231" s="31"/>
      <c r="M231" s="31"/>
      <c r="N231" s="31"/>
      <c r="O231" s="31"/>
      <c r="P231" s="54"/>
      <c r="Q231" s="1304" t="s">
        <v>703</v>
      </c>
      <c r="R231" s="436"/>
      <c r="V231" s="438"/>
      <c r="W231" s="438"/>
      <c r="X231" s="210"/>
      <c r="Y231" s="1"/>
      <c r="Z231" s="1"/>
      <c r="AA231" s="13"/>
      <c r="AD231" s="24"/>
      <c r="AE231" s="30"/>
    </row>
    <row r="232" spans="2:46">
      <c r="B232" s="535" t="s">
        <v>704</v>
      </c>
      <c r="C232" s="530" t="s">
        <v>257</v>
      </c>
      <c r="D232" s="1377" t="s">
        <v>258</v>
      </c>
      <c r="E232" s="1312" t="s">
        <v>705</v>
      </c>
      <c r="F232" s="1313" t="s">
        <v>706</v>
      </c>
      <c r="G232" s="787" t="s">
        <v>707</v>
      </c>
      <c r="H232" s="1314" t="s">
        <v>708</v>
      </c>
      <c r="I232" s="1315" t="s">
        <v>709</v>
      </c>
      <c r="J232" s="1316" t="s">
        <v>710</v>
      </c>
      <c r="K232" s="1317" t="s">
        <v>711</v>
      </c>
      <c r="L232" s="1318" t="s">
        <v>712</v>
      </c>
      <c r="M232" s="1319" t="s">
        <v>713</v>
      </c>
      <c r="N232" s="835" t="s">
        <v>714</v>
      </c>
      <c r="O232" s="1319" t="s">
        <v>715</v>
      </c>
      <c r="P232" s="1320" t="s">
        <v>716</v>
      </c>
      <c r="Q232" s="1321" t="s">
        <v>717</v>
      </c>
      <c r="V232" s="1"/>
      <c r="W232" s="1"/>
      <c r="X232" s="1"/>
      <c r="Y232" s="1"/>
      <c r="Z232" s="1"/>
      <c r="AA232" s="1"/>
      <c r="AB232" s="1"/>
      <c r="AC232" s="1"/>
      <c r="AD232" s="1"/>
    </row>
    <row r="233" spans="2:46" ht="15.75" thickBot="1">
      <c r="B233" s="541" t="s">
        <v>718</v>
      </c>
      <c r="C233" s="579"/>
      <c r="D233" s="537"/>
      <c r="E233" s="56"/>
      <c r="F233" s="1378"/>
      <c r="H233" s="1378"/>
      <c r="I233" s="1379" t="s">
        <v>719</v>
      </c>
      <c r="J233" s="119" t="s">
        <v>720</v>
      </c>
      <c r="K233" s="1380" t="s">
        <v>721</v>
      </c>
      <c r="L233" s="1381" t="s">
        <v>722</v>
      </c>
      <c r="M233" s="1380" t="s">
        <v>723</v>
      </c>
      <c r="N233" s="46" t="s">
        <v>724</v>
      </c>
      <c r="O233" s="1382" t="s">
        <v>725</v>
      </c>
      <c r="P233" s="1383" t="s">
        <v>726</v>
      </c>
      <c r="Q233" s="1330" t="s">
        <v>490</v>
      </c>
      <c r="V233" s="44"/>
      <c r="W233" s="222"/>
      <c r="X233" s="789"/>
      <c r="AA233" s="1"/>
      <c r="AB233" s="1"/>
      <c r="AC233" s="1"/>
      <c r="AD233" s="1"/>
    </row>
    <row r="234" spans="2:46">
      <c r="B234" s="99"/>
      <c r="C234" s="774" t="s">
        <v>199</v>
      </c>
      <c r="D234" s="1411"/>
      <c r="E234" s="1331"/>
      <c r="F234" s="545"/>
      <c r="G234" s="545"/>
      <c r="H234" s="1412"/>
      <c r="I234" s="1392"/>
      <c r="J234" s="1392"/>
      <c r="K234" s="896"/>
      <c r="L234" s="1392"/>
      <c r="M234" s="1392"/>
      <c r="N234" s="1392"/>
      <c r="O234" s="1392"/>
      <c r="P234" s="1393"/>
      <c r="Q234" s="1413"/>
      <c r="V234" s="153"/>
      <c r="W234" s="153"/>
      <c r="X234" s="789"/>
      <c r="AA234" s="14"/>
      <c r="AB234" s="13"/>
      <c r="AC234" s="13"/>
      <c r="AD234" s="13"/>
      <c r="AE234" s="13"/>
    </row>
    <row r="235" spans="2:46">
      <c r="B235" s="1351" t="s">
        <v>15</v>
      </c>
      <c r="C235" s="595" t="s">
        <v>217</v>
      </c>
      <c r="D235" s="551" t="s">
        <v>568</v>
      </c>
      <c r="E235" s="2399">
        <v>3.94</v>
      </c>
      <c r="F235" s="1294">
        <v>0.308</v>
      </c>
      <c r="G235" s="2400">
        <v>0.35299999999999998</v>
      </c>
      <c r="H235" s="1294">
        <v>178.02</v>
      </c>
      <c r="I235" s="2400">
        <v>215.78</v>
      </c>
      <c r="J235" s="1294">
        <v>234.95</v>
      </c>
      <c r="K235" s="2400">
        <v>44.14</v>
      </c>
      <c r="L235" s="1294">
        <v>1.635</v>
      </c>
      <c r="M235" s="2400">
        <v>176.89</v>
      </c>
      <c r="N235" s="1294">
        <v>1.4999999999999999E-2</v>
      </c>
      <c r="O235" s="2400">
        <v>8.9999999999999993E-3</v>
      </c>
      <c r="P235" s="2417">
        <v>0.62</v>
      </c>
      <c r="Q235" s="589">
        <v>37</v>
      </c>
      <c r="V235" s="44"/>
      <c r="W235" s="44"/>
      <c r="X235" s="789"/>
      <c r="AA235" s="22"/>
      <c r="AB235" s="22"/>
      <c r="AC235" s="22"/>
      <c r="AD235" s="22"/>
      <c r="AE235" s="22"/>
    </row>
    <row r="236" spans="2:46">
      <c r="B236" s="2589"/>
      <c r="C236" s="594" t="s">
        <v>237</v>
      </c>
      <c r="D236" s="590"/>
      <c r="E236" s="2430"/>
      <c r="F236" s="2431"/>
      <c r="G236" s="2432"/>
      <c r="H236" s="1535"/>
      <c r="I236" s="2433"/>
      <c r="J236" s="2397"/>
      <c r="K236" s="2433"/>
      <c r="L236" s="2397"/>
      <c r="M236" s="2433"/>
      <c r="N236" s="2397"/>
      <c r="O236" s="2433"/>
      <c r="P236" s="2434"/>
      <c r="Q236" s="593"/>
      <c r="R236" s="171"/>
      <c r="V236" s="44"/>
      <c r="W236" s="44"/>
      <c r="X236" s="789"/>
      <c r="AA236" s="1"/>
      <c r="AB236" s="1"/>
      <c r="AC236" s="1"/>
      <c r="AD236" s="1"/>
    </row>
    <row r="237" spans="2:46">
      <c r="B237" s="1272" t="s">
        <v>639</v>
      </c>
      <c r="C237" s="560" t="s">
        <v>16</v>
      </c>
      <c r="D237" s="561">
        <v>200</v>
      </c>
      <c r="E237" s="2392">
        <v>0.04</v>
      </c>
      <c r="F237" s="380">
        <v>0</v>
      </c>
      <c r="G237" s="380">
        <v>0.01</v>
      </c>
      <c r="H237" s="1298">
        <v>0.3</v>
      </c>
      <c r="I237" s="1359">
        <v>4.5</v>
      </c>
      <c r="J237" s="1359">
        <v>7.2</v>
      </c>
      <c r="K237" s="1359">
        <v>3.8</v>
      </c>
      <c r="L237" s="1359">
        <v>0.73</v>
      </c>
      <c r="M237" s="1359">
        <v>20.77</v>
      </c>
      <c r="N237" s="1359">
        <v>0</v>
      </c>
      <c r="O237" s="1359">
        <v>0</v>
      </c>
      <c r="P237" s="2393">
        <v>0</v>
      </c>
      <c r="Q237" s="572">
        <v>90</v>
      </c>
      <c r="R237" s="19"/>
      <c r="V237" s="44"/>
      <c r="W237" s="44"/>
      <c r="X237" s="789"/>
      <c r="AA237" s="44"/>
      <c r="AB237" s="44"/>
      <c r="AC237" s="44"/>
      <c r="AD237" s="44"/>
      <c r="AE237" s="153"/>
    </row>
    <row r="238" spans="2:46" ht="15.75">
      <c r="B238" s="1387" t="s">
        <v>322</v>
      </c>
      <c r="C238" s="469" t="s">
        <v>310</v>
      </c>
      <c r="D238" s="583">
        <v>10</v>
      </c>
      <c r="E238" s="1359">
        <v>0</v>
      </c>
      <c r="F238" s="1359">
        <v>0</v>
      </c>
      <c r="G238" s="1359">
        <v>0.01</v>
      </c>
      <c r="H238" s="1298">
        <v>40</v>
      </c>
      <c r="I238" s="1359">
        <v>2.4</v>
      </c>
      <c r="J238" s="1359">
        <v>3</v>
      </c>
      <c r="K238" s="1359">
        <v>0</v>
      </c>
      <c r="L238" s="1359">
        <v>0.02</v>
      </c>
      <c r="M238" s="1359">
        <v>3</v>
      </c>
      <c r="N238" s="1359">
        <v>0</v>
      </c>
      <c r="O238" s="1359">
        <v>0</v>
      </c>
      <c r="P238" s="1359">
        <v>0</v>
      </c>
      <c r="Q238" s="628">
        <v>9</v>
      </c>
      <c r="R238" s="13"/>
      <c r="V238" s="152"/>
      <c r="W238" s="44"/>
      <c r="X238" s="789"/>
      <c r="AA238" s="44"/>
      <c r="AB238" s="44"/>
      <c r="AC238" s="44"/>
      <c r="AD238" s="44"/>
      <c r="AE238" s="153"/>
      <c r="AJ238" s="20"/>
      <c r="AK238" s="363"/>
      <c r="AM238" s="20"/>
      <c r="AN238" s="20"/>
      <c r="AP238" s="43"/>
      <c r="AT238" s="13"/>
    </row>
    <row r="239" spans="2:46">
      <c r="B239" s="1272" t="s">
        <v>10</v>
      </c>
      <c r="C239" s="424" t="s">
        <v>11</v>
      </c>
      <c r="D239" s="561">
        <v>30</v>
      </c>
      <c r="E239" s="2392">
        <v>0.06</v>
      </c>
      <c r="F239" s="380">
        <v>1.2E-2</v>
      </c>
      <c r="G239" s="380">
        <v>0.01</v>
      </c>
      <c r="H239" s="1298">
        <v>0</v>
      </c>
      <c r="I239" s="1359">
        <v>47.5</v>
      </c>
      <c r="J239" s="1359">
        <v>38.700000000000003</v>
      </c>
      <c r="K239" s="380">
        <v>12.3</v>
      </c>
      <c r="L239" s="1359">
        <v>0.03</v>
      </c>
      <c r="M239" s="1359">
        <v>22.3</v>
      </c>
      <c r="N239" s="1359">
        <v>0</v>
      </c>
      <c r="O239" s="1359">
        <v>3.8E-3</v>
      </c>
      <c r="P239" s="2393">
        <v>0</v>
      </c>
      <c r="Q239" s="557">
        <v>11</v>
      </c>
      <c r="V239" s="792"/>
      <c r="W239" s="793"/>
      <c r="X239" s="2310"/>
      <c r="Y239" s="210"/>
      <c r="Z239" s="22"/>
      <c r="AA239" s="44"/>
      <c r="AB239" s="44"/>
      <c r="AC239" s="44"/>
      <c r="AD239" s="44"/>
      <c r="AE239" s="153"/>
    </row>
    <row r="240" spans="2:46" ht="16.5" thickBot="1">
      <c r="B240" s="2560" t="s">
        <v>1004</v>
      </c>
      <c r="C240" s="563" t="s">
        <v>1003</v>
      </c>
      <c r="D240" s="574">
        <v>130</v>
      </c>
      <c r="E240" s="2421">
        <v>13</v>
      </c>
      <c r="F240" s="586">
        <v>2.9000000000000001E-2</v>
      </c>
      <c r="G240" s="586">
        <v>2.5999999999999999E-2</v>
      </c>
      <c r="H240" s="2403">
        <v>6.5</v>
      </c>
      <c r="I240" s="1370">
        <v>20.8</v>
      </c>
      <c r="J240" s="1370">
        <v>14.3</v>
      </c>
      <c r="K240" s="586">
        <v>11.7</v>
      </c>
      <c r="L240" s="1370">
        <v>2.5099999999999998</v>
      </c>
      <c r="M240" s="1370">
        <v>68.77</v>
      </c>
      <c r="N240" s="1370">
        <v>1.2999999999999999E-2</v>
      </c>
      <c r="O240" s="1370">
        <v>0</v>
      </c>
      <c r="P240" s="2404">
        <v>0.35099999999999998</v>
      </c>
      <c r="Q240" s="627">
        <v>73</v>
      </c>
      <c r="V240" s="1289"/>
      <c r="W240" s="1289"/>
      <c r="X240" s="1289"/>
      <c r="Y240" s="1029"/>
      <c r="Z240" s="1"/>
      <c r="AA240" s="44"/>
      <c r="AB240" s="44"/>
      <c r="AC240" s="223"/>
      <c r="AD240" s="44"/>
      <c r="AE240" s="153"/>
      <c r="AJ240" s="20"/>
      <c r="AK240" s="20"/>
      <c r="AM240" s="20"/>
      <c r="AN240" s="20"/>
      <c r="AP240" s="4"/>
    </row>
    <row r="241" spans="2:45" ht="15.75">
      <c r="B241" s="1404" t="s">
        <v>283</v>
      </c>
      <c r="D241" s="2292">
        <f>D237+D238+D239+D240+195+5</f>
        <v>570</v>
      </c>
      <c r="E241" s="145">
        <f>SUM(E235:E240)</f>
        <v>17.04</v>
      </c>
      <c r="F241" s="243">
        <f>SUM(F235:F240)</f>
        <v>0.34900000000000003</v>
      </c>
      <c r="G241" s="243">
        <f t="shared" ref="G241:P241" si="36">SUM(G235:G240)</f>
        <v>0.40900000000000003</v>
      </c>
      <c r="H241" s="243">
        <f>SUM(H235:H240)</f>
        <v>224.82000000000002</v>
      </c>
      <c r="I241" s="243">
        <f t="shared" si="36"/>
        <v>290.98</v>
      </c>
      <c r="J241" s="243">
        <f>SUM(J235:J240)</f>
        <v>298.14999999999998</v>
      </c>
      <c r="K241" s="243">
        <f t="shared" si="36"/>
        <v>71.94</v>
      </c>
      <c r="L241" s="243">
        <f t="shared" si="36"/>
        <v>4.9249999999999998</v>
      </c>
      <c r="M241" s="243">
        <f t="shared" si="36"/>
        <v>291.73</v>
      </c>
      <c r="N241" s="243">
        <f t="shared" si="36"/>
        <v>2.7999999999999997E-2</v>
      </c>
      <c r="O241" s="243">
        <f t="shared" si="36"/>
        <v>1.2799999999999999E-2</v>
      </c>
      <c r="P241" s="1386">
        <f t="shared" si="36"/>
        <v>0.97099999999999997</v>
      </c>
      <c r="Q241" s="1358"/>
      <c r="V241" s="1"/>
      <c r="W241" s="1"/>
      <c r="X241" s="1"/>
      <c r="Y241" s="1"/>
      <c r="Z241" s="1"/>
      <c r="AA241" s="46"/>
      <c r="AB241" s="214"/>
      <c r="AC241" s="204"/>
      <c r="AD241" s="46"/>
      <c r="AE241" s="66"/>
      <c r="AG241" s="364"/>
      <c r="AH241" s="365"/>
      <c r="AI241" s="366"/>
      <c r="AJ241" s="367"/>
      <c r="AK241" s="42"/>
      <c r="AL241" s="42"/>
      <c r="AM241" s="42"/>
      <c r="AN241" s="42"/>
      <c r="AO241" s="42"/>
      <c r="AP241" s="42"/>
      <c r="AQ241" s="364"/>
      <c r="AR241" s="364"/>
      <c r="AS241" s="698"/>
    </row>
    <row r="242" spans="2:45">
      <c r="B242" s="1343"/>
      <c r="C242" s="1344" t="s">
        <v>12</v>
      </c>
      <c r="D242" s="2291">
        <v>0.25</v>
      </c>
      <c r="E242" s="1398">
        <v>17.5</v>
      </c>
      <c r="F242" s="2413">
        <v>0.35</v>
      </c>
      <c r="G242" s="1399">
        <v>0.4</v>
      </c>
      <c r="H242" s="1345">
        <v>225</v>
      </c>
      <c r="I242" s="2413">
        <v>300</v>
      </c>
      <c r="J242" s="1399">
        <v>300</v>
      </c>
      <c r="K242" s="1345">
        <v>75</v>
      </c>
      <c r="L242" s="2413">
        <v>4.5</v>
      </c>
      <c r="M242" s="1346">
        <v>300</v>
      </c>
      <c r="N242" s="2413">
        <v>2.5000000000000001E-2</v>
      </c>
      <c r="O242" s="1399">
        <v>1.2500000000000001E-2</v>
      </c>
      <c r="P242" s="1345">
        <v>1</v>
      </c>
      <c r="Q242" s="1358"/>
      <c r="V242" s="44"/>
      <c r="W242" s="44"/>
      <c r="X242" s="789"/>
      <c r="AA242" s="1"/>
      <c r="AB242" s="1"/>
      <c r="AC242" s="1"/>
      <c r="AD242" s="1"/>
      <c r="AG242" s="49"/>
      <c r="AH242" s="49"/>
      <c r="AI242" s="49"/>
      <c r="AJ242" s="368"/>
      <c r="AK242" s="49"/>
      <c r="AL242" s="49"/>
      <c r="AM242" s="49"/>
      <c r="AN242" s="49"/>
      <c r="AO242" s="49"/>
      <c r="AP242" s="49"/>
      <c r="AQ242" s="49"/>
      <c r="AR242" s="49"/>
      <c r="AS242" s="49"/>
    </row>
    <row r="243" spans="2:45" ht="15.75" thickBot="1">
      <c r="B243" s="237"/>
      <c r="C243" s="1347" t="s">
        <v>940</v>
      </c>
      <c r="D243" s="1348" t="s">
        <v>280</v>
      </c>
      <c r="E243" s="1416">
        <f>(E241*100/E263)-25</f>
        <v>-0.65714285714285836</v>
      </c>
      <c r="F243" s="1370">
        <f>(F241*100/F263)-25</f>
        <v>-7.1428571428565846E-2</v>
      </c>
      <c r="G243" s="1370">
        <f t="shared" ref="G243:O243" si="37">(G241*100/G263)-25</f>
        <v>0.56250000000000355</v>
      </c>
      <c r="H243" s="1370">
        <f t="shared" si="37"/>
        <v>-1.9999999999996021E-2</v>
      </c>
      <c r="I243" s="1370">
        <f t="shared" si="37"/>
        <v>-0.75166666666666515</v>
      </c>
      <c r="J243" s="1370">
        <f t="shared" si="37"/>
        <v>-0.15416666666666856</v>
      </c>
      <c r="K243" s="1370">
        <f t="shared" si="37"/>
        <v>-1.0199999999999996</v>
      </c>
      <c r="L243" s="1370">
        <f t="shared" si="37"/>
        <v>2.3611111111111107</v>
      </c>
      <c r="M243" s="1370">
        <f t="shared" si="37"/>
        <v>-0.68916666666666515</v>
      </c>
      <c r="N243" s="1370">
        <f t="shared" si="37"/>
        <v>2.9999999999999964</v>
      </c>
      <c r="O243" s="1370">
        <f t="shared" si="37"/>
        <v>0.59999999999999432</v>
      </c>
      <c r="P243" s="1371">
        <f>(P241*100/P263)-25</f>
        <v>-0.72500000000000142</v>
      </c>
      <c r="Q243" s="1358"/>
      <c r="V243" s="44"/>
      <c r="W243" s="44"/>
      <c r="X243" s="789"/>
      <c r="AA243" s="44"/>
      <c r="AB243" s="223"/>
      <c r="AC243" s="44"/>
      <c r="AD243" s="44"/>
      <c r="AE243" s="153"/>
      <c r="AG243" s="44"/>
      <c r="AH243" s="44"/>
      <c r="AI243" s="44"/>
      <c r="AJ243" s="111"/>
      <c r="AK243" s="44"/>
      <c r="AL243" s="44"/>
      <c r="AM243" s="44"/>
      <c r="AN243" s="44"/>
      <c r="AO243" s="44"/>
      <c r="AP243" s="44"/>
      <c r="AQ243" s="44"/>
      <c r="AR243" s="44"/>
      <c r="AS243" s="153"/>
    </row>
    <row r="244" spans="2:45">
      <c r="B244" s="99"/>
      <c r="C244" s="542" t="s">
        <v>152</v>
      </c>
      <c r="D244" s="99"/>
      <c r="E244" s="2435"/>
      <c r="F244" s="2397"/>
      <c r="G244" s="2397"/>
      <c r="H244" s="2397"/>
      <c r="I244" s="2397"/>
      <c r="J244" s="2397"/>
      <c r="K244" s="2397"/>
      <c r="L244" s="2397"/>
      <c r="M244" s="2397"/>
      <c r="N244" s="2397"/>
      <c r="O244" s="2397"/>
      <c r="P244" s="2434"/>
      <c r="Q244" s="1358"/>
      <c r="V244" s="44"/>
      <c r="W244" s="222"/>
      <c r="X244" s="789"/>
      <c r="AA244" s="44"/>
      <c r="AB244" s="223"/>
      <c r="AC244" s="223"/>
      <c r="AD244" s="44"/>
      <c r="AE244" s="153"/>
      <c r="AG244" s="705"/>
      <c r="AH244" s="705"/>
      <c r="AI244" s="705"/>
      <c r="AJ244" s="713"/>
      <c r="AK244" s="705"/>
      <c r="AL244" s="705"/>
      <c r="AM244" s="705"/>
      <c r="AN244" s="705"/>
      <c r="AO244" s="706"/>
      <c r="AP244" s="706"/>
      <c r="AQ244" s="705"/>
      <c r="AR244" s="705"/>
      <c r="AS244" s="705"/>
    </row>
    <row r="245" spans="2:45">
      <c r="B245" s="1350" t="s">
        <v>687</v>
      </c>
      <c r="C245" s="582" t="s">
        <v>363</v>
      </c>
      <c r="D245" s="561">
        <v>60</v>
      </c>
      <c r="E245" s="1359">
        <v>6</v>
      </c>
      <c r="F245" s="1359">
        <v>0.02</v>
      </c>
      <c r="G245" s="2393">
        <v>0.02</v>
      </c>
      <c r="H245" s="1359">
        <v>6</v>
      </c>
      <c r="I245" s="2396">
        <v>13.8</v>
      </c>
      <c r="J245" s="2397">
        <v>25</v>
      </c>
      <c r="K245" s="2397">
        <v>8.4</v>
      </c>
      <c r="L245" s="2397">
        <v>0.36</v>
      </c>
      <c r="M245" s="2397">
        <v>56.7</v>
      </c>
      <c r="N245" s="2397">
        <v>1.8E-3</v>
      </c>
      <c r="O245" s="2397">
        <v>2.0000000000000001E-4</v>
      </c>
      <c r="P245" s="2397">
        <v>1.0200000000000001E-2</v>
      </c>
      <c r="Q245" s="557">
        <v>1</v>
      </c>
      <c r="V245" s="44"/>
      <c r="W245" s="44"/>
      <c r="X245" s="805"/>
      <c r="AA245" s="153"/>
      <c r="AB245" s="147"/>
      <c r="AC245" s="153"/>
      <c r="AD245" s="153"/>
      <c r="AE245" s="153"/>
    </row>
    <row r="246" spans="2:45">
      <c r="B246" s="1530" t="s">
        <v>825</v>
      </c>
      <c r="C246" s="591" t="s">
        <v>138</v>
      </c>
      <c r="D246" s="561">
        <v>250</v>
      </c>
      <c r="E246" s="2392">
        <v>0.125</v>
      </c>
      <c r="F246" s="380">
        <v>0.14799999999999999</v>
      </c>
      <c r="G246" s="380">
        <v>8.5000000000000006E-2</v>
      </c>
      <c r="H246" s="1298">
        <v>27.625</v>
      </c>
      <c r="I246" s="1359">
        <v>10.225</v>
      </c>
      <c r="J246" s="1359">
        <v>16.21</v>
      </c>
      <c r="K246" s="1359">
        <v>9.0500000000000007</v>
      </c>
      <c r="L246" s="1359">
        <v>1.0129999999999999</v>
      </c>
      <c r="M246" s="1359">
        <v>16.248000000000001</v>
      </c>
      <c r="N246" s="1359">
        <v>3.1E-2</v>
      </c>
      <c r="O246" s="1359">
        <v>1.6E-2</v>
      </c>
      <c r="P246" s="2393">
        <v>0.84</v>
      </c>
      <c r="Q246" s="776">
        <v>19</v>
      </c>
      <c r="V246" s="44"/>
      <c r="W246" s="44"/>
      <c r="X246" s="789"/>
      <c r="AA246" s="153"/>
      <c r="AB246" s="153"/>
      <c r="AC246" s="153"/>
      <c r="AD246" s="153"/>
      <c r="AE246" s="153"/>
      <c r="AP246" s="43"/>
      <c r="AR246" s="43"/>
    </row>
    <row r="247" spans="2:45">
      <c r="B247" s="1272" t="s">
        <v>345</v>
      </c>
      <c r="C247" s="336" t="s">
        <v>346</v>
      </c>
      <c r="D247" s="561">
        <v>195</v>
      </c>
      <c r="E247" s="2392">
        <v>1.105</v>
      </c>
      <c r="F247" s="380">
        <v>0.14499999999999999</v>
      </c>
      <c r="G247" s="380">
        <v>0.128</v>
      </c>
      <c r="H247" s="1298">
        <v>21.38</v>
      </c>
      <c r="I247" s="1359">
        <v>12.875</v>
      </c>
      <c r="J247" s="1359">
        <v>31.31</v>
      </c>
      <c r="K247" s="1359">
        <v>10.93</v>
      </c>
      <c r="L247" s="1359">
        <v>2.1840000000000002</v>
      </c>
      <c r="M247" s="1359">
        <v>20.93</v>
      </c>
      <c r="N247" s="1359">
        <v>1E-3</v>
      </c>
      <c r="O247" s="1359">
        <v>0</v>
      </c>
      <c r="P247" s="2393">
        <v>0</v>
      </c>
      <c r="Q247" s="580">
        <v>58</v>
      </c>
      <c r="V247" s="44"/>
      <c r="W247" s="44"/>
      <c r="X247" s="789"/>
      <c r="AA247" s="152"/>
      <c r="AB247" s="152"/>
      <c r="AC247" s="152"/>
      <c r="AD247" s="152"/>
      <c r="AE247" s="153"/>
      <c r="AJ247" s="715"/>
      <c r="AR247" s="43"/>
    </row>
    <row r="248" spans="2:45">
      <c r="B248" s="1530" t="s">
        <v>1020</v>
      </c>
      <c r="C248" s="756" t="s">
        <v>1018</v>
      </c>
      <c r="D248" s="561">
        <v>200</v>
      </c>
      <c r="E248" s="2392">
        <v>1.1193</v>
      </c>
      <c r="F248" s="380">
        <v>6.5000000000000002E-2</v>
      </c>
      <c r="G248" s="380">
        <v>0.26300000000000001</v>
      </c>
      <c r="H248" s="1298">
        <v>28.459</v>
      </c>
      <c r="I248" s="1359">
        <v>231.47399999999999</v>
      </c>
      <c r="J248" s="1359">
        <v>183.12</v>
      </c>
      <c r="K248" s="380">
        <v>35.549999999999997</v>
      </c>
      <c r="L248" s="1359">
        <v>0.78400000000000003</v>
      </c>
      <c r="M248" s="1359">
        <v>134.791</v>
      </c>
      <c r="N248" s="1359">
        <v>1E-3</v>
      </c>
      <c r="O248" s="1359">
        <v>2.3E-3</v>
      </c>
      <c r="P248" s="2393">
        <v>6.9000000000000006E-2</v>
      </c>
      <c r="Q248" s="580">
        <v>84</v>
      </c>
      <c r="V248" s="44"/>
      <c r="W248" s="44"/>
      <c r="X248" s="789"/>
      <c r="AA248" s="44"/>
      <c r="AB248" s="44"/>
      <c r="AC248" s="44"/>
      <c r="AD248" s="44"/>
      <c r="AE248" s="153"/>
      <c r="AG248" s="32"/>
      <c r="AH248" s="4"/>
      <c r="AI248" s="8"/>
    </row>
    <row r="249" spans="2:45" ht="15.75">
      <c r="B249" s="1387" t="s">
        <v>945</v>
      </c>
      <c r="C249" s="241" t="s">
        <v>767</v>
      </c>
      <c r="D249" s="561">
        <v>30</v>
      </c>
      <c r="E249" s="2411">
        <v>0</v>
      </c>
      <c r="F249" s="1359">
        <v>0.21</v>
      </c>
      <c r="G249" s="2394">
        <v>0.3</v>
      </c>
      <c r="H249" s="2395">
        <v>169.5</v>
      </c>
      <c r="I249" s="2394">
        <v>121.995</v>
      </c>
      <c r="J249" s="2394">
        <v>135</v>
      </c>
      <c r="K249" s="2394">
        <v>7.6950000000000003</v>
      </c>
      <c r="L249" s="2394">
        <v>0</v>
      </c>
      <c r="M249" s="1359">
        <v>38.4</v>
      </c>
      <c r="N249" s="1359">
        <v>0</v>
      </c>
      <c r="O249" s="1359">
        <v>1.4999999999999999E-2</v>
      </c>
      <c r="P249" s="2412">
        <v>0.19500000000000001</v>
      </c>
      <c r="Q249" s="557">
        <v>10</v>
      </c>
      <c r="V249" s="792"/>
      <c r="W249" s="2310"/>
      <c r="X249" s="2310"/>
      <c r="Y249" s="210"/>
      <c r="Z249" s="22"/>
      <c r="AA249" s="44"/>
      <c r="AB249" s="44"/>
      <c r="AC249" s="44"/>
      <c r="AD249" s="44"/>
      <c r="AE249" s="153"/>
      <c r="AG249" s="39"/>
      <c r="AH249" s="4"/>
      <c r="AI249" s="40"/>
    </row>
    <row r="250" spans="2:45" ht="15.75">
      <c r="B250" s="1272" t="s">
        <v>10</v>
      </c>
      <c r="C250" s="304" t="s">
        <v>11</v>
      </c>
      <c r="D250" s="561">
        <v>70</v>
      </c>
      <c r="E250" s="2392">
        <v>0.14000000000000001</v>
      </c>
      <c r="F250" s="380">
        <v>2.5000000000000001E-2</v>
      </c>
      <c r="G250" s="380">
        <v>2.3E-2</v>
      </c>
      <c r="H250" s="1298">
        <v>0</v>
      </c>
      <c r="I250" s="2498">
        <v>110.01300000000001</v>
      </c>
      <c r="J250" s="1359">
        <v>90.3</v>
      </c>
      <c r="K250" s="1359">
        <v>28.7</v>
      </c>
      <c r="L250" s="2393">
        <v>7.0000000000000007E-2</v>
      </c>
      <c r="M250" s="2469">
        <v>52.03</v>
      </c>
      <c r="N250" s="1359">
        <v>0</v>
      </c>
      <c r="O250" s="1359">
        <v>0</v>
      </c>
      <c r="P250" s="1359">
        <v>0</v>
      </c>
      <c r="Q250" s="557">
        <v>11</v>
      </c>
      <c r="V250" s="1289"/>
      <c r="W250" s="1289"/>
      <c r="X250" s="1289"/>
      <c r="Y250" s="1029"/>
      <c r="Z250" s="1"/>
      <c r="AA250" s="458"/>
      <c r="AB250" s="214"/>
      <c r="AC250" s="46"/>
      <c r="AD250" s="46"/>
      <c r="AE250" s="48"/>
      <c r="AG250" s="39"/>
      <c r="AI250" s="40"/>
    </row>
    <row r="251" spans="2:45" ht="15.75" thickBot="1">
      <c r="B251" s="1352" t="s">
        <v>10</v>
      </c>
      <c r="C251" s="563" t="s">
        <v>792</v>
      </c>
      <c r="D251" s="574">
        <v>50</v>
      </c>
      <c r="E251" s="2402">
        <v>0</v>
      </c>
      <c r="F251" s="381">
        <v>0.1</v>
      </c>
      <c r="G251" s="381">
        <v>0</v>
      </c>
      <c r="H251" s="1465">
        <v>0</v>
      </c>
      <c r="I251" s="242">
        <v>41.5</v>
      </c>
      <c r="J251" s="242">
        <v>75.98</v>
      </c>
      <c r="K251" s="242">
        <v>22.8</v>
      </c>
      <c r="L251" s="242">
        <v>0.05</v>
      </c>
      <c r="M251" s="1359">
        <v>72</v>
      </c>
      <c r="N251" s="1359">
        <v>1.25E-3</v>
      </c>
      <c r="O251" s="1359">
        <v>0</v>
      </c>
      <c r="P251" s="2412">
        <v>0</v>
      </c>
      <c r="Q251" s="589">
        <v>12</v>
      </c>
      <c r="V251" s="1"/>
      <c r="W251" s="1"/>
      <c r="X251" s="1"/>
      <c r="Y251" s="1"/>
      <c r="Z251" s="1"/>
      <c r="AA251" s="714"/>
      <c r="AB251" s="434"/>
      <c r="AC251" s="434"/>
      <c r="AD251" s="435"/>
      <c r="AE251" s="435"/>
      <c r="AH251" s="169"/>
    </row>
    <row r="252" spans="2:45" ht="15.75" thickBot="1">
      <c r="B252" s="565" t="s">
        <v>269</v>
      </c>
      <c r="C252" s="1283"/>
      <c r="D252" s="570">
        <f>SUM(D245:D251)</f>
        <v>855</v>
      </c>
      <c r="E252" s="145">
        <f t="shared" ref="E252:P252" si="38">SUM(E245:E251)</f>
        <v>8.4893000000000001</v>
      </c>
      <c r="F252" s="243">
        <f t="shared" si="38"/>
        <v>0.71299999999999997</v>
      </c>
      <c r="G252" s="243">
        <f t="shared" si="38"/>
        <v>0.81900000000000006</v>
      </c>
      <c r="H252" s="243">
        <f t="shared" si="38"/>
        <v>252.964</v>
      </c>
      <c r="I252" s="243">
        <f t="shared" si="38"/>
        <v>541.88199999999995</v>
      </c>
      <c r="J252" s="243">
        <f t="shared" si="38"/>
        <v>556.91999999999996</v>
      </c>
      <c r="K252" s="243">
        <f t="shared" si="38"/>
        <v>123.125</v>
      </c>
      <c r="L252" s="243">
        <f t="shared" si="38"/>
        <v>4.4610000000000003</v>
      </c>
      <c r="M252" s="243">
        <f t="shared" si="38"/>
        <v>391.09900000000005</v>
      </c>
      <c r="N252" s="243">
        <f t="shared" si="38"/>
        <v>3.6050000000000006E-2</v>
      </c>
      <c r="O252" s="243">
        <f t="shared" si="38"/>
        <v>3.3500000000000002E-2</v>
      </c>
      <c r="P252" s="1386">
        <f t="shared" si="38"/>
        <v>1.1142000000000001</v>
      </c>
      <c r="Q252" s="1358"/>
      <c r="V252" s="44"/>
      <c r="W252" s="44"/>
      <c r="X252" s="789"/>
      <c r="Y252" s="3"/>
      <c r="AA252" s="432"/>
      <c r="AB252" s="432"/>
      <c r="AC252" s="437"/>
      <c r="AD252" s="437"/>
      <c r="AE252" s="438"/>
      <c r="AG252" s="385"/>
      <c r="AH252" s="4"/>
      <c r="AI252" s="9"/>
    </row>
    <row r="253" spans="2:45" ht="18.75" customHeight="1">
      <c r="B253" s="88"/>
      <c r="C253" s="1354" t="s">
        <v>12</v>
      </c>
      <c r="D253" s="2261">
        <v>0.35</v>
      </c>
      <c r="E253" s="1355">
        <v>24.5</v>
      </c>
      <c r="F253" s="1365">
        <v>0.49</v>
      </c>
      <c r="G253" s="1364">
        <v>0.56000000000000005</v>
      </c>
      <c r="H253" s="1363">
        <v>315</v>
      </c>
      <c r="I253" s="1365">
        <v>420</v>
      </c>
      <c r="J253" s="1364">
        <v>420</v>
      </c>
      <c r="K253" s="1363">
        <v>105</v>
      </c>
      <c r="L253" s="1365">
        <v>6.3</v>
      </c>
      <c r="M253" s="1369">
        <v>420</v>
      </c>
      <c r="N253" s="1365">
        <v>3.5000000000000003E-2</v>
      </c>
      <c r="O253" s="1364">
        <v>1.7500000000000002E-2</v>
      </c>
      <c r="P253" s="1363">
        <v>1.4</v>
      </c>
      <c r="Q253" s="1358"/>
      <c r="V253" s="44"/>
      <c r="W253" s="222"/>
      <c r="X253" s="789"/>
      <c r="Y253" s="722"/>
      <c r="AA253" s="1"/>
      <c r="AB253" s="1"/>
      <c r="AC253" s="1"/>
      <c r="AD253" s="1"/>
      <c r="AH253" s="116"/>
      <c r="AI253" s="3"/>
    </row>
    <row r="254" spans="2:45" ht="15.75" thickBot="1">
      <c r="B254" s="237"/>
      <c r="C254" s="1347" t="s">
        <v>940</v>
      </c>
      <c r="D254" s="1348" t="s">
        <v>280</v>
      </c>
      <c r="E254" s="1416">
        <f>(E252*100/E263)-35</f>
        <v>-22.872428571428571</v>
      </c>
      <c r="F254" s="1370">
        <f>(F252*100/F263)-35</f>
        <v>15.928571428571431</v>
      </c>
      <c r="G254" s="1370">
        <f t="shared" ref="G254:P254" si="39">(G252*100/G263)-35</f>
        <v>16.1875</v>
      </c>
      <c r="H254" s="1370">
        <f t="shared" si="39"/>
        <v>-6.8928888888888871</v>
      </c>
      <c r="I254" s="1370">
        <f t="shared" si="39"/>
        <v>10.156833333333331</v>
      </c>
      <c r="J254" s="1370">
        <f t="shared" si="39"/>
        <v>11.409999999999997</v>
      </c>
      <c r="K254" s="1370">
        <f t="shared" si="39"/>
        <v>6.0416666666666643</v>
      </c>
      <c r="L254" s="1370">
        <f t="shared" si="39"/>
        <v>-10.216666666666665</v>
      </c>
      <c r="M254" s="1370">
        <f t="shared" si="39"/>
        <v>-2.4084166666666675</v>
      </c>
      <c r="N254" s="1370">
        <f t="shared" si="39"/>
        <v>1.0500000000000043</v>
      </c>
      <c r="O254" s="1370">
        <f t="shared" si="39"/>
        <v>32</v>
      </c>
      <c r="P254" s="1371">
        <f t="shared" si="39"/>
        <v>-7.1449999999999996</v>
      </c>
      <c r="Q254" s="1358"/>
      <c r="V254" s="153"/>
      <c r="W254" s="153"/>
      <c r="X254" s="789"/>
      <c r="Y254" s="3"/>
      <c r="Z254" s="40"/>
      <c r="AA254" s="1"/>
      <c r="AB254" s="1"/>
      <c r="AC254" s="1"/>
      <c r="AD254" s="1"/>
      <c r="AG254" s="63"/>
      <c r="AH254" s="116"/>
      <c r="AI254" s="150"/>
    </row>
    <row r="255" spans="2:45">
      <c r="B255" s="600"/>
      <c r="C255" s="162" t="s">
        <v>324</v>
      </c>
      <c r="D255" s="88"/>
      <c r="E255" s="2436"/>
      <c r="F255" s="2423"/>
      <c r="G255" s="2423"/>
      <c r="H255" s="2423"/>
      <c r="I255" s="2423"/>
      <c r="J255" s="2423"/>
      <c r="K255" s="2423"/>
      <c r="L255" s="2423"/>
      <c r="M255" s="2423"/>
      <c r="N255" s="2423"/>
      <c r="O255" s="2423"/>
      <c r="P255" s="2424"/>
      <c r="Q255" s="1358"/>
      <c r="V255" s="792"/>
      <c r="W255" s="793"/>
      <c r="X255" s="2310"/>
      <c r="Y255" s="210"/>
      <c r="Z255" s="22"/>
      <c r="AE255" s="32"/>
      <c r="AG255" s="45"/>
      <c r="AH255" s="4"/>
      <c r="AI255" s="9"/>
    </row>
    <row r="256" spans="2:45">
      <c r="B256" s="1473" t="s">
        <v>801</v>
      </c>
      <c r="C256" s="556" t="s">
        <v>643</v>
      </c>
      <c r="D256" s="561">
        <v>200</v>
      </c>
      <c r="E256" s="2392">
        <v>1.3299999999999999E-2</v>
      </c>
      <c r="F256" s="380">
        <v>0</v>
      </c>
      <c r="G256" s="380">
        <v>3.0000000000000001E-3</v>
      </c>
      <c r="H256" s="1298">
        <v>0.1</v>
      </c>
      <c r="I256" s="1359">
        <v>1.4670000000000001</v>
      </c>
      <c r="J256" s="1359">
        <v>2.4</v>
      </c>
      <c r="K256" s="1359">
        <v>1.2666999999999999</v>
      </c>
      <c r="L256" s="1359">
        <v>0.23669999999999999</v>
      </c>
      <c r="M256" s="1359">
        <v>30.9</v>
      </c>
      <c r="N256" s="1359">
        <v>0</v>
      </c>
      <c r="O256" s="1359">
        <v>0</v>
      </c>
      <c r="P256" s="2393">
        <v>0</v>
      </c>
      <c r="Q256" s="628">
        <v>94</v>
      </c>
      <c r="R256" s="4"/>
      <c r="V256" s="153"/>
      <c r="W256" s="111"/>
      <c r="X256" s="722"/>
      <c r="Y256" s="721"/>
      <c r="Z256" s="1"/>
      <c r="AA256" s="14"/>
      <c r="AB256" s="13"/>
      <c r="AC256" s="13"/>
      <c r="AD256" s="13"/>
      <c r="AE256" s="13"/>
      <c r="AG256" s="32"/>
      <c r="AH256" s="4"/>
      <c r="AI256" s="9"/>
    </row>
    <row r="257" spans="2:35">
      <c r="B257" s="552" t="s">
        <v>488</v>
      </c>
      <c r="C257" s="595" t="s">
        <v>689</v>
      </c>
      <c r="D257" s="551" t="s">
        <v>1024</v>
      </c>
      <c r="E257" s="2414">
        <v>7.0270000000000001</v>
      </c>
      <c r="F257" s="381">
        <v>0.14000000000000001</v>
      </c>
      <c r="G257" s="2415">
        <v>0.16</v>
      </c>
      <c r="H257" s="1465">
        <v>90</v>
      </c>
      <c r="I257" s="2400">
        <v>31.06</v>
      </c>
      <c r="J257" s="1294">
        <v>93.394999999999996</v>
      </c>
      <c r="K257" s="2400">
        <v>24</v>
      </c>
      <c r="L257" s="1294">
        <v>1.155</v>
      </c>
      <c r="M257" s="2400">
        <v>96</v>
      </c>
      <c r="N257" s="1294">
        <v>0.01</v>
      </c>
      <c r="O257" s="2400">
        <v>5.0000000000000001E-3</v>
      </c>
      <c r="P257" s="2417">
        <v>0.4</v>
      </c>
      <c r="Q257" s="1292">
        <v>36</v>
      </c>
      <c r="R257" s="4"/>
      <c r="V257" s="152"/>
      <c r="W257" s="111"/>
      <c r="X257" s="722"/>
      <c r="Y257" s="721"/>
      <c r="Z257" s="1"/>
      <c r="AA257" s="22"/>
      <c r="AB257" s="22"/>
      <c r="AC257" s="22"/>
      <c r="AD257" s="22"/>
      <c r="AE257" s="22"/>
      <c r="AG257" s="32"/>
      <c r="AH257" s="4"/>
      <c r="AI257" s="9"/>
    </row>
    <row r="258" spans="2:35" ht="15.75" thickBot="1">
      <c r="B258" s="1287"/>
      <c r="C258" s="985" t="s">
        <v>237</v>
      </c>
      <c r="D258" s="1284"/>
      <c r="E258" s="2437"/>
      <c r="F258" s="2428"/>
      <c r="G258" s="2438"/>
      <c r="H258" s="1400"/>
      <c r="I258" s="2439"/>
      <c r="J258" s="2440"/>
      <c r="K258" s="2439"/>
      <c r="L258" s="2440"/>
      <c r="M258" s="2439"/>
      <c r="N258" s="2440"/>
      <c r="O258" s="2439"/>
      <c r="P258" s="2441"/>
      <c r="Q258" s="1403"/>
      <c r="R258" s="4"/>
      <c r="V258" s="44"/>
      <c r="W258" s="111"/>
      <c r="X258" s="722"/>
      <c r="Y258" s="721"/>
      <c r="Z258" s="1"/>
      <c r="AA258" s="1"/>
      <c r="AB258" s="1"/>
      <c r="AC258" s="1"/>
      <c r="AD258" s="1"/>
      <c r="AH258" s="40"/>
    </row>
    <row r="259" spans="2:35">
      <c r="B259" s="2307" t="s">
        <v>357</v>
      </c>
      <c r="C259" s="2308"/>
      <c r="D259" s="577">
        <f>D256+156+24</f>
        <v>380</v>
      </c>
      <c r="E259" s="1420">
        <f>SUM(E256:E258)</f>
        <v>7.0403000000000002</v>
      </c>
      <c r="F259" s="1421">
        <f>SUM(F256:F258)</f>
        <v>0.14000000000000001</v>
      </c>
      <c r="G259" s="1421">
        <f t="shared" ref="G259:P259" si="40">SUM(G256:G258)</f>
        <v>0.16300000000000001</v>
      </c>
      <c r="H259" s="1421">
        <f t="shared" si="40"/>
        <v>90.1</v>
      </c>
      <c r="I259" s="1421">
        <f t="shared" si="40"/>
        <v>32.527000000000001</v>
      </c>
      <c r="J259" s="1421">
        <f t="shared" si="40"/>
        <v>95.795000000000002</v>
      </c>
      <c r="K259" s="1421">
        <f t="shared" si="40"/>
        <v>25.2667</v>
      </c>
      <c r="L259" s="1421">
        <f t="shared" si="40"/>
        <v>1.3916999999999999</v>
      </c>
      <c r="M259" s="1421">
        <f t="shared" si="40"/>
        <v>126.9</v>
      </c>
      <c r="N259" s="1421">
        <f t="shared" si="40"/>
        <v>0.01</v>
      </c>
      <c r="O259" s="1421">
        <f t="shared" si="40"/>
        <v>5.0000000000000001E-3</v>
      </c>
      <c r="P259" s="2442">
        <f t="shared" si="40"/>
        <v>0.4</v>
      </c>
      <c r="Q259" s="360"/>
      <c r="R259" s="4"/>
      <c r="V259" s="44"/>
      <c r="W259" s="111"/>
      <c r="X259" s="722"/>
      <c r="Y259" s="721"/>
      <c r="Z259" s="1"/>
      <c r="AA259" s="44"/>
      <c r="AB259" s="223"/>
      <c r="AC259" s="44"/>
      <c r="AD259" s="44"/>
      <c r="AE259" s="153"/>
      <c r="AG259" s="63"/>
      <c r="AH259" s="169"/>
    </row>
    <row r="260" spans="2:35">
      <c r="B260" s="61"/>
      <c r="C260" s="794" t="s">
        <v>12</v>
      </c>
      <c r="D260" s="2261">
        <v>0.1</v>
      </c>
      <c r="E260" s="1355">
        <v>7</v>
      </c>
      <c r="F260" s="1365">
        <v>0.14000000000000001</v>
      </c>
      <c r="G260" s="1364">
        <v>0.16</v>
      </c>
      <c r="H260" s="1363">
        <v>90</v>
      </c>
      <c r="I260" s="1365">
        <v>120</v>
      </c>
      <c r="J260" s="1364">
        <v>120</v>
      </c>
      <c r="K260" s="1363">
        <v>30</v>
      </c>
      <c r="L260" s="1365">
        <v>1.8</v>
      </c>
      <c r="M260" s="1369">
        <v>120</v>
      </c>
      <c r="N260" s="1365">
        <v>0.01</v>
      </c>
      <c r="O260" s="1364">
        <v>5.0000000000000001E-3</v>
      </c>
      <c r="P260" s="1366">
        <v>0.4</v>
      </c>
      <c r="Q260" s="360"/>
      <c r="R260" s="4"/>
      <c r="V260" s="44"/>
      <c r="W260" s="111"/>
      <c r="X260" s="722"/>
      <c r="Y260" s="721"/>
      <c r="Z260" s="1"/>
      <c r="AA260" s="153"/>
      <c r="AB260" s="153"/>
      <c r="AC260" s="153"/>
      <c r="AD260" s="153"/>
      <c r="AE260" s="153"/>
      <c r="AG260" s="32"/>
      <c r="AH260" s="4"/>
      <c r="AI260" s="8"/>
    </row>
    <row r="261" spans="2:35" ht="15.75" thickBot="1">
      <c r="B261" s="237"/>
      <c r="C261" s="1347" t="s">
        <v>940</v>
      </c>
      <c r="D261" s="1348" t="s">
        <v>280</v>
      </c>
      <c r="E261" s="2265">
        <f>(E259*100/E263)-10</f>
        <v>5.7571428571428385E-2</v>
      </c>
      <c r="F261" s="2266">
        <f>(F259*100/F263)-10</f>
        <v>0</v>
      </c>
      <c r="G261" s="2266">
        <f t="shared" ref="G261:P261" si="41">(G259*100/G263)-10</f>
        <v>0.1875</v>
      </c>
      <c r="H261" s="2266">
        <f t="shared" si="41"/>
        <v>1.1111111111111072E-2</v>
      </c>
      <c r="I261" s="2266">
        <f t="shared" si="41"/>
        <v>-7.289416666666666</v>
      </c>
      <c r="J261" s="2266">
        <f t="shared" si="41"/>
        <v>-2.0170833333333329</v>
      </c>
      <c r="K261" s="2266">
        <f t="shared" si="41"/>
        <v>-1.5777666666666672</v>
      </c>
      <c r="L261" s="2266">
        <f t="shared" si="41"/>
        <v>-2.2683333333333344</v>
      </c>
      <c r="M261" s="2266">
        <f t="shared" si="41"/>
        <v>0.57499999999999929</v>
      </c>
      <c r="N261" s="2266">
        <f t="shared" si="41"/>
        <v>0</v>
      </c>
      <c r="O261" s="2266">
        <f t="shared" si="41"/>
        <v>0</v>
      </c>
      <c r="P261" s="2267">
        <f t="shared" si="41"/>
        <v>0</v>
      </c>
      <c r="Q261" s="360"/>
      <c r="R261" s="433"/>
      <c r="V261" s="795"/>
      <c r="W261" s="796"/>
      <c r="X261" s="203"/>
      <c r="Y261" s="154"/>
      <c r="Z261" s="1"/>
      <c r="AA261" s="44"/>
      <c r="AB261" s="44"/>
      <c r="AC261" s="44"/>
      <c r="AD261" s="44"/>
      <c r="AE261" s="153"/>
      <c r="AG261" s="32"/>
      <c r="AH261" s="4"/>
      <c r="AI261" s="4"/>
    </row>
    <row r="262" spans="2:35" ht="15.75" thickBot="1"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360"/>
      <c r="R262" s="433"/>
      <c r="X262" s="210"/>
      <c r="Y262" s="169"/>
      <c r="Z262" s="1"/>
      <c r="AA262" s="44"/>
      <c r="AB262" s="44"/>
      <c r="AC262" s="44"/>
      <c r="AD262" s="44"/>
      <c r="AE262" s="153"/>
      <c r="AG262" s="32"/>
      <c r="AH262" s="4"/>
      <c r="AI262" s="9"/>
    </row>
    <row r="263" spans="2:35" ht="15.75" thickBot="1">
      <c r="B263" s="2369" t="s">
        <v>959</v>
      </c>
      <c r="C263" s="2262"/>
      <c r="D263" s="2263">
        <v>1</v>
      </c>
      <c r="E263" s="2407">
        <v>70</v>
      </c>
      <c r="F263" s="2408">
        <v>1.4</v>
      </c>
      <c r="G263" s="2408">
        <v>1.6</v>
      </c>
      <c r="H263" s="2264">
        <v>900</v>
      </c>
      <c r="I263" s="2405">
        <v>1200</v>
      </c>
      <c r="J263" s="2406">
        <v>1200</v>
      </c>
      <c r="K263" s="2406">
        <v>300</v>
      </c>
      <c r="L263" s="2409">
        <v>18</v>
      </c>
      <c r="M263" s="2405">
        <v>1200</v>
      </c>
      <c r="N263" s="2409">
        <v>0.1</v>
      </c>
      <c r="O263" s="2409">
        <v>0.05</v>
      </c>
      <c r="P263" s="2410">
        <v>4</v>
      </c>
      <c r="Q263" s="360"/>
      <c r="R263" s="436"/>
      <c r="V263" s="438"/>
      <c r="W263" s="438"/>
      <c r="X263" s="210"/>
      <c r="Y263" s="1"/>
      <c r="Z263" s="1"/>
      <c r="AA263" s="44"/>
      <c r="AB263" s="44"/>
      <c r="AC263" s="44"/>
      <c r="AD263" s="44"/>
      <c r="AE263" s="153"/>
      <c r="AG263" s="30"/>
      <c r="AH263" s="4"/>
      <c r="AI263" s="9"/>
    </row>
    <row r="264" spans="2:35">
      <c r="B264" s="1021"/>
      <c r="C264" s="34" t="s">
        <v>481</v>
      </c>
      <c r="D264" s="35"/>
      <c r="E264" s="145">
        <f>E241+E252</f>
        <v>25.529299999999999</v>
      </c>
      <c r="F264" s="243">
        <f t="shared" ref="F264:P264" si="42">F241+F252</f>
        <v>1.0620000000000001</v>
      </c>
      <c r="G264" s="243">
        <f t="shared" si="42"/>
        <v>1.2280000000000002</v>
      </c>
      <c r="H264" s="243">
        <f t="shared" si="42"/>
        <v>477.78399999999999</v>
      </c>
      <c r="I264" s="243">
        <f t="shared" si="42"/>
        <v>832.86199999999997</v>
      </c>
      <c r="J264" s="243">
        <f t="shared" si="42"/>
        <v>855.06999999999994</v>
      </c>
      <c r="K264" s="243">
        <f t="shared" si="42"/>
        <v>195.065</v>
      </c>
      <c r="L264" s="243">
        <f t="shared" si="42"/>
        <v>9.3859999999999992</v>
      </c>
      <c r="M264" s="243">
        <f t="shared" si="42"/>
        <v>682.82900000000006</v>
      </c>
      <c r="N264" s="243">
        <f t="shared" si="42"/>
        <v>6.4049999999999996E-2</v>
      </c>
      <c r="O264" s="243">
        <f t="shared" si="42"/>
        <v>4.6300000000000001E-2</v>
      </c>
      <c r="P264" s="1024">
        <f t="shared" si="42"/>
        <v>2.0851999999999999</v>
      </c>
      <c r="Q264" s="360"/>
      <c r="V264" s="1"/>
      <c r="W264" s="1"/>
      <c r="X264" s="1"/>
      <c r="Y264" s="1"/>
      <c r="Z264" s="1"/>
      <c r="AA264" s="46"/>
      <c r="AB264" s="214"/>
      <c r="AC264" s="204"/>
      <c r="AD264" s="46"/>
      <c r="AE264" s="66"/>
      <c r="AG264" s="32"/>
      <c r="AH264" s="4"/>
      <c r="AI264" s="9"/>
    </row>
    <row r="265" spans="2:35">
      <c r="B265" s="513"/>
      <c r="C265" s="1368" t="s">
        <v>12</v>
      </c>
      <c r="D265" s="2261">
        <v>0.6</v>
      </c>
      <c r="E265" s="1355">
        <v>42</v>
      </c>
      <c r="F265" s="1365">
        <v>0.84</v>
      </c>
      <c r="G265" s="1364">
        <v>0.96</v>
      </c>
      <c r="H265" s="1363">
        <v>540</v>
      </c>
      <c r="I265" s="1365">
        <v>720</v>
      </c>
      <c r="J265" s="1364">
        <v>720</v>
      </c>
      <c r="K265" s="1363">
        <v>180</v>
      </c>
      <c r="L265" s="1365">
        <v>10.8</v>
      </c>
      <c r="M265" s="1369">
        <v>720</v>
      </c>
      <c r="N265" s="1365">
        <v>0.06</v>
      </c>
      <c r="O265" s="1364">
        <v>0.03</v>
      </c>
      <c r="P265" s="1366">
        <v>2.4</v>
      </c>
      <c r="Q265" s="360"/>
      <c r="AA265" s="1"/>
      <c r="AB265" s="1"/>
      <c r="AC265" s="1"/>
      <c r="AD265" s="1"/>
      <c r="AG265" s="32"/>
      <c r="AH265" s="4"/>
      <c r="AI265" s="9"/>
    </row>
    <row r="266" spans="2:35" ht="15.75" thickBot="1">
      <c r="B266" s="237"/>
      <c r="C266" s="1347" t="s">
        <v>940</v>
      </c>
      <c r="D266" s="1348" t="s">
        <v>280</v>
      </c>
      <c r="E266" s="1406">
        <f>(E264*100/E263)-60</f>
        <v>-23.52957142857143</v>
      </c>
      <c r="F266" s="1357">
        <f t="shared" ref="F266:O266" si="43">(F264*100/F263)-60</f>
        <v>15.857142857142861</v>
      </c>
      <c r="G266" s="1357">
        <f t="shared" si="43"/>
        <v>16.750000000000014</v>
      </c>
      <c r="H266" s="1357">
        <f t="shared" si="43"/>
        <v>-6.9128888888888866</v>
      </c>
      <c r="I266" s="1357">
        <f t="shared" si="43"/>
        <v>9.4051666666666591</v>
      </c>
      <c r="J266" s="1357">
        <f t="shared" si="43"/>
        <v>11.255833333333328</v>
      </c>
      <c r="K266" s="1357">
        <f t="shared" si="43"/>
        <v>5.0216666666666612</v>
      </c>
      <c r="L266" s="1357">
        <f t="shared" si="43"/>
        <v>-7.8555555555555614</v>
      </c>
      <c r="M266" s="1357">
        <f t="shared" si="43"/>
        <v>-3.0975833333333256</v>
      </c>
      <c r="N266" s="1357">
        <f t="shared" si="43"/>
        <v>4.0499999999999829</v>
      </c>
      <c r="O266" s="1357">
        <f t="shared" si="43"/>
        <v>32.599999999999994</v>
      </c>
      <c r="P266" s="1407">
        <f>(P264*100/P263)-60</f>
        <v>-7.8700000000000045</v>
      </c>
      <c r="Q266" s="360"/>
      <c r="AA266" s="383"/>
      <c r="AB266" s="720"/>
      <c r="AC266" s="383"/>
      <c r="AD266" s="383"/>
      <c r="AE266" s="153"/>
      <c r="AG266" s="32"/>
      <c r="AH266" s="4"/>
      <c r="AI266" s="9"/>
    </row>
    <row r="267" spans="2:35">
      <c r="B267" s="1021"/>
      <c r="C267" s="34" t="s">
        <v>480</v>
      </c>
      <c r="D267" s="35"/>
      <c r="E267" s="145">
        <f>E252+E259</f>
        <v>15.5296</v>
      </c>
      <c r="F267" s="243">
        <f t="shared" ref="F267:P267" si="44">F252+F259</f>
        <v>0.85299999999999998</v>
      </c>
      <c r="G267" s="243">
        <f t="shared" si="44"/>
        <v>0.9820000000000001</v>
      </c>
      <c r="H267" s="243">
        <f t="shared" si="44"/>
        <v>343.06399999999996</v>
      </c>
      <c r="I267" s="243">
        <f t="shared" si="44"/>
        <v>574.40899999999999</v>
      </c>
      <c r="J267" s="243">
        <f t="shared" si="44"/>
        <v>652.71499999999992</v>
      </c>
      <c r="K267" s="243">
        <f t="shared" si="44"/>
        <v>148.39170000000001</v>
      </c>
      <c r="L267" s="243">
        <f t="shared" si="44"/>
        <v>5.8527000000000005</v>
      </c>
      <c r="M267" s="243">
        <f t="shared" si="44"/>
        <v>517.99900000000002</v>
      </c>
      <c r="N267" s="243">
        <f t="shared" si="44"/>
        <v>4.6050000000000008E-2</v>
      </c>
      <c r="O267" s="243">
        <f t="shared" si="44"/>
        <v>3.85E-2</v>
      </c>
      <c r="P267" s="1024">
        <f t="shared" si="44"/>
        <v>1.5142000000000002</v>
      </c>
      <c r="Q267" s="360"/>
      <c r="AA267" s="44"/>
      <c r="AB267" s="223"/>
      <c r="AC267" s="44"/>
      <c r="AD267" s="44"/>
      <c r="AE267" s="153"/>
    </row>
    <row r="268" spans="2:35">
      <c r="B268" s="513"/>
      <c r="C268" s="1368" t="s">
        <v>12</v>
      </c>
      <c r="D268" s="2261">
        <v>0.45</v>
      </c>
      <c r="E268" s="1355">
        <v>31.5</v>
      </c>
      <c r="F268" s="1365">
        <v>0.63</v>
      </c>
      <c r="G268" s="1364">
        <v>0.72</v>
      </c>
      <c r="H268" s="1364">
        <v>405</v>
      </c>
      <c r="I268" s="1365">
        <v>540</v>
      </c>
      <c r="J268" s="1364">
        <v>540</v>
      </c>
      <c r="K268" s="1364">
        <v>135</v>
      </c>
      <c r="L268" s="1365">
        <v>8.1</v>
      </c>
      <c r="M268" s="1365">
        <v>540</v>
      </c>
      <c r="N268" s="1365">
        <v>4.4999999999999998E-2</v>
      </c>
      <c r="O268" s="1364">
        <v>2.2499999999999999E-2</v>
      </c>
      <c r="P268" s="1366">
        <v>1.8</v>
      </c>
      <c r="Q268" s="360"/>
      <c r="AA268" s="44"/>
      <c r="AB268" s="44"/>
      <c r="AC268" s="44"/>
      <c r="AD268" s="44"/>
      <c r="AE268" s="153"/>
    </row>
    <row r="269" spans="2:35" ht="15.75" thickBot="1">
      <c r="B269" s="237"/>
      <c r="C269" s="1347" t="s">
        <v>940</v>
      </c>
      <c r="D269" s="1356" t="s">
        <v>280</v>
      </c>
      <c r="E269" s="1406">
        <f>(E267*100/E263)-45</f>
        <v>-22.814857142857143</v>
      </c>
      <c r="F269" s="1357">
        <f t="shared" ref="F269:P269" si="45">(F267*100/F263)-45</f>
        <v>15.928571428571431</v>
      </c>
      <c r="G269" s="1357">
        <f t="shared" si="45"/>
        <v>16.375</v>
      </c>
      <c r="H269" s="1357">
        <f t="shared" si="45"/>
        <v>-6.8817777777777849</v>
      </c>
      <c r="I269" s="1357">
        <f t="shared" si="45"/>
        <v>2.8674166666666707</v>
      </c>
      <c r="J269" s="1357">
        <f t="shared" si="45"/>
        <v>9.3929166666666575</v>
      </c>
      <c r="K269" s="1357">
        <f t="shared" si="45"/>
        <v>4.4639000000000095</v>
      </c>
      <c r="L269" s="1357">
        <f t="shared" si="45"/>
        <v>-12.484999999999992</v>
      </c>
      <c r="M269" s="1357">
        <f t="shared" si="45"/>
        <v>-1.8334166666666647</v>
      </c>
      <c r="N269" s="1357">
        <f t="shared" si="45"/>
        <v>1.0500000000000043</v>
      </c>
      <c r="O269" s="1357">
        <f t="shared" si="45"/>
        <v>32</v>
      </c>
      <c r="P269" s="1407">
        <f t="shared" si="45"/>
        <v>-7.144999999999996</v>
      </c>
      <c r="Q269" s="360"/>
      <c r="AA269" s="44"/>
      <c r="AB269" s="44"/>
      <c r="AC269" s="44"/>
      <c r="AD269" s="44"/>
      <c r="AE269" s="153"/>
    </row>
    <row r="270" spans="2:35" ht="15.75" thickBot="1">
      <c r="E270" s="194"/>
      <c r="F270" s="194"/>
      <c r="G270" s="194"/>
      <c r="H270" s="194"/>
      <c r="I270" s="194"/>
      <c r="J270" s="194"/>
      <c r="K270" s="207"/>
      <c r="L270" s="194"/>
      <c r="M270" s="194"/>
      <c r="N270" s="194"/>
      <c r="O270" s="194"/>
      <c r="P270" s="207"/>
      <c r="Q270" s="360"/>
      <c r="AA270" s="44"/>
      <c r="AB270" s="44"/>
      <c r="AC270" s="44"/>
      <c r="AD270" s="44"/>
      <c r="AE270" s="153"/>
    </row>
    <row r="271" spans="2:35">
      <c r="B271" s="1372" t="s">
        <v>728</v>
      </c>
      <c r="C271" s="34"/>
      <c r="D271" s="35"/>
      <c r="E271" s="1426">
        <f>E241+E252+E259</f>
        <v>32.569600000000001</v>
      </c>
      <c r="F271" s="1361">
        <f t="shared" ref="F271:P271" si="46">F241+F252+F259</f>
        <v>1.202</v>
      </c>
      <c r="G271" s="1361">
        <f t="shared" si="46"/>
        <v>1.3910000000000002</v>
      </c>
      <c r="H271" s="1361">
        <f t="shared" si="46"/>
        <v>567.88400000000001</v>
      </c>
      <c r="I271" s="1361">
        <f t="shared" si="46"/>
        <v>865.38900000000001</v>
      </c>
      <c r="J271" s="1361">
        <f t="shared" si="46"/>
        <v>950.8649999999999</v>
      </c>
      <c r="K271" s="1361">
        <f t="shared" si="46"/>
        <v>220.33170000000001</v>
      </c>
      <c r="L271" s="1361">
        <f t="shared" si="46"/>
        <v>10.777699999999999</v>
      </c>
      <c r="M271" s="1361">
        <f t="shared" si="46"/>
        <v>809.72900000000004</v>
      </c>
      <c r="N271" s="1361">
        <f t="shared" si="46"/>
        <v>7.4049999999999991E-2</v>
      </c>
      <c r="O271" s="1361">
        <f t="shared" si="46"/>
        <v>5.1299999999999998E-2</v>
      </c>
      <c r="P271" s="1409">
        <f t="shared" si="46"/>
        <v>2.4851999999999999</v>
      </c>
      <c r="Q271" s="360"/>
      <c r="AA271" s="44"/>
      <c r="AB271" s="44"/>
      <c r="AC271" s="223"/>
      <c r="AD271" s="44"/>
      <c r="AE271" s="153"/>
    </row>
    <row r="272" spans="2:35">
      <c r="B272" s="1343"/>
      <c r="C272" s="1344" t="s">
        <v>12</v>
      </c>
      <c r="D272" s="2261">
        <v>0.7</v>
      </c>
      <c r="E272" s="1355">
        <v>49</v>
      </c>
      <c r="F272" s="1365">
        <v>0.98</v>
      </c>
      <c r="G272" s="1364">
        <v>1.1200000000000001</v>
      </c>
      <c r="H272" s="1364">
        <v>630</v>
      </c>
      <c r="I272" s="1365">
        <v>840</v>
      </c>
      <c r="J272" s="1364">
        <v>840</v>
      </c>
      <c r="K272" s="1364">
        <v>210</v>
      </c>
      <c r="L272" s="1365">
        <v>12.6</v>
      </c>
      <c r="M272" s="1365">
        <v>840</v>
      </c>
      <c r="N272" s="1365">
        <v>7.0000000000000007E-2</v>
      </c>
      <c r="O272" s="1364">
        <v>3.5000000000000003E-2</v>
      </c>
      <c r="P272" s="1366">
        <v>2.8</v>
      </c>
      <c r="Q272" s="360"/>
      <c r="AA272" s="46"/>
      <c r="AB272" s="214"/>
      <c r="AC272" s="46"/>
      <c r="AD272" s="46"/>
      <c r="AE272" s="66"/>
    </row>
    <row r="273" spans="2:46" ht="15.75" thickBot="1">
      <c r="B273" s="237"/>
      <c r="C273" s="1347" t="s">
        <v>940</v>
      </c>
      <c r="D273" s="1356" t="s">
        <v>280</v>
      </c>
      <c r="E273" s="1406">
        <f>(E271*100/E263)-70</f>
        <v>-23.472000000000001</v>
      </c>
      <c r="F273" s="1357">
        <f t="shared" ref="F273:P273" si="47">(F271*100/F263)-70</f>
        <v>15.857142857142861</v>
      </c>
      <c r="G273" s="1357">
        <f t="shared" si="47"/>
        <v>16.937500000000014</v>
      </c>
      <c r="H273" s="1357">
        <f t="shared" si="47"/>
        <v>-6.9017777777777738</v>
      </c>
      <c r="I273" s="1357">
        <f t="shared" si="47"/>
        <v>2.1157499999999914</v>
      </c>
      <c r="J273" s="1357">
        <f t="shared" si="47"/>
        <v>9.2387499999999818</v>
      </c>
      <c r="K273" s="1357">
        <f t="shared" si="47"/>
        <v>3.4438999999999993</v>
      </c>
      <c r="L273" s="1357">
        <f t="shared" si="47"/>
        <v>-10.123888888888892</v>
      </c>
      <c r="M273" s="1357">
        <f t="shared" si="47"/>
        <v>-2.5225833333333298</v>
      </c>
      <c r="N273" s="1357">
        <f t="shared" si="47"/>
        <v>4.0499999999999829</v>
      </c>
      <c r="O273" s="1357">
        <f t="shared" si="47"/>
        <v>32.599999999999994</v>
      </c>
      <c r="P273" s="1407">
        <f t="shared" si="47"/>
        <v>-7.8700000000000045</v>
      </c>
      <c r="Q273" s="360"/>
      <c r="AA273" s="714"/>
      <c r="AB273" s="434"/>
      <c r="AC273" s="434"/>
      <c r="AD273" s="435"/>
      <c r="AE273" s="435"/>
    </row>
    <row r="274" spans="2:46">
      <c r="Q274" s="360"/>
      <c r="AA274" s="432"/>
      <c r="AB274" s="432"/>
      <c r="AC274" s="437"/>
      <c r="AD274" s="437"/>
      <c r="AE274" s="438"/>
    </row>
    <row r="275" spans="2:46">
      <c r="C275" s="1300" t="s">
        <v>695</v>
      </c>
      <c r="D275"/>
      <c r="E275" s="32"/>
      <c r="K275" s="385"/>
      <c r="P275"/>
      <c r="Q275" s="360"/>
      <c r="AA275" s="1"/>
      <c r="AB275" s="1"/>
      <c r="AC275" s="1"/>
      <c r="AD275" s="1"/>
    </row>
    <row r="276" spans="2:46">
      <c r="C276" s="7" t="s">
        <v>754</v>
      </c>
      <c r="D276" s="8"/>
      <c r="E276" s="2"/>
      <c r="K276"/>
      <c r="P276"/>
      <c r="Q276" s="360"/>
      <c r="AA276" s="1"/>
      <c r="AB276" s="1"/>
      <c r="AC276" s="1"/>
      <c r="AD276" s="1"/>
    </row>
    <row r="277" spans="2:46" ht="15.75">
      <c r="C277" s="1" t="s">
        <v>359</v>
      </c>
      <c r="D277"/>
      <c r="E277"/>
      <c r="F277"/>
      <c r="K277" s="63"/>
      <c r="P277"/>
      <c r="Q277" s="360"/>
      <c r="AA277" s="1"/>
      <c r="AB277" s="1"/>
      <c r="AC277" s="1"/>
      <c r="AD277" s="1"/>
      <c r="AJ277" s="20"/>
      <c r="AK277" s="363"/>
      <c r="AM277" s="20"/>
      <c r="AN277" s="20"/>
      <c r="AP277" s="43"/>
      <c r="AT277" s="13"/>
    </row>
    <row r="278" spans="2:46">
      <c r="C278" s="19" t="s">
        <v>282</v>
      </c>
      <c r="E278"/>
      <c r="F278"/>
      <c r="G278" s="19"/>
      <c r="H278" s="19"/>
      <c r="K278" s="119"/>
      <c r="P278"/>
      <c r="Q278" s="360"/>
      <c r="AA278" s="1"/>
      <c r="AB278" s="1"/>
      <c r="AC278" s="1"/>
      <c r="AD278" s="1"/>
    </row>
    <row r="279" spans="2:46" ht="15.75">
      <c r="C279" s="1300" t="s">
        <v>694</v>
      </c>
      <c r="D279"/>
      <c r="J279" s="20" t="s">
        <v>0</v>
      </c>
      <c r="K279"/>
      <c r="L279" s="2" t="s">
        <v>317</v>
      </c>
      <c r="M279" s="13"/>
      <c r="N279" s="13"/>
      <c r="O279" s="24"/>
      <c r="Q279" s="360"/>
      <c r="AA279" s="1"/>
      <c r="AB279" s="1"/>
      <c r="AC279" s="1"/>
      <c r="AD279" s="1"/>
      <c r="AJ279" s="20"/>
      <c r="AK279" s="20"/>
      <c r="AM279" s="20"/>
      <c r="AN279" s="20"/>
      <c r="AP279" s="4"/>
    </row>
    <row r="280" spans="2:46" ht="21.75" thickBot="1">
      <c r="B280" s="43" t="s">
        <v>698</v>
      </c>
      <c r="E280"/>
      <c r="F280"/>
      <c r="G280" s="23" t="s">
        <v>1</v>
      </c>
      <c r="H280" s="19"/>
      <c r="K280" s="32"/>
      <c r="P280"/>
      <c r="Q280" s="360"/>
      <c r="AA280" s="1"/>
      <c r="AB280" s="1"/>
      <c r="AC280" s="1"/>
      <c r="AD280" s="1"/>
      <c r="AG280" s="364"/>
      <c r="AH280" s="365"/>
      <c r="AI280" s="366"/>
      <c r="AJ280" s="367"/>
      <c r="AK280" s="42"/>
      <c r="AL280" s="42"/>
      <c r="AM280" s="42"/>
      <c r="AN280" s="42"/>
      <c r="AO280" s="42"/>
      <c r="AP280" s="42"/>
      <c r="AQ280" s="364"/>
      <c r="AR280" s="364"/>
      <c r="AS280" s="698"/>
    </row>
    <row r="281" spans="2:46" ht="15.75" thickBot="1">
      <c r="B281" s="1304" t="s">
        <v>700</v>
      </c>
      <c r="C281" s="1427" t="s">
        <v>734</v>
      </c>
      <c r="D281" s="1376" t="s">
        <v>251</v>
      </c>
      <c r="E281" s="1306" t="s">
        <v>701</v>
      </c>
      <c r="F281" s="1307"/>
      <c r="G281" s="1307"/>
      <c r="H281" s="1308"/>
      <c r="I281" s="1309" t="s">
        <v>730</v>
      </c>
      <c r="J281" s="31"/>
      <c r="K281" s="1310"/>
      <c r="L281" s="31"/>
      <c r="M281" s="31"/>
      <c r="N281" s="31"/>
      <c r="O281" s="31"/>
      <c r="P281" s="54"/>
      <c r="Q281" s="1304" t="s">
        <v>703</v>
      </c>
      <c r="AA281" s="1"/>
      <c r="AB281" s="1"/>
      <c r="AC281" s="1"/>
      <c r="AD281" s="1"/>
      <c r="AG281" s="49"/>
      <c r="AH281" s="49"/>
      <c r="AI281" s="49"/>
      <c r="AJ281" s="368"/>
      <c r="AK281" s="49"/>
      <c r="AL281" s="49"/>
      <c r="AM281" s="49"/>
      <c r="AN281" s="49"/>
      <c r="AO281" s="49"/>
      <c r="AP281" s="49"/>
      <c r="AQ281" s="49"/>
      <c r="AR281" s="49"/>
      <c r="AS281" s="49"/>
    </row>
    <row r="282" spans="2:46">
      <c r="B282" s="1428" t="s">
        <v>704</v>
      </c>
      <c r="C282" s="530" t="s">
        <v>257</v>
      </c>
      <c r="D282" s="1377" t="s">
        <v>258</v>
      </c>
      <c r="E282" s="1312" t="s">
        <v>705</v>
      </c>
      <c r="F282" s="1313" t="s">
        <v>706</v>
      </c>
      <c r="G282" s="787" t="s">
        <v>707</v>
      </c>
      <c r="H282" s="1314" t="s">
        <v>708</v>
      </c>
      <c r="I282" s="1315" t="s">
        <v>709</v>
      </c>
      <c r="J282" s="1316" t="s">
        <v>710</v>
      </c>
      <c r="K282" s="1317" t="s">
        <v>711</v>
      </c>
      <c r="L282" s="1318" t="s">
        <v>712</v>
      </c>
      <c r="M282" s="1319" t="s">
        <v>713</v>
      </c>
      <c r="N282" s="835" t="s">
        <v>714</v>
      </c>
      <c r="O282" s="1319" t="s">
        <v>715</v>
      </c>
      <c r="P282" s="1320" t="s">
        <v>716</v>
      </c>
      <c r="Q282" s="1321" t="s">
        <v>717</v>
      </c>
      <c r="AG282" s="44"/>
      <c r="AH282" s="44"/>
      <c r="AI282" s="152"/>
      <c r="AJ282" s="111"/>
      <c r="AK282" s="44"/>
      <c r="AL282" s="153"/>
      <c r="AM282" s="153"/>
      <c r="AN282" s="153"/>
      <c r="AO282" s="153"/>
      <c r="AP282" s="153"/>
      <c r="AQ282" s="153"/>
      <c r="AR282" s="153"/>
      <c r="AS282" s="153"/>
    </row>
    <row r="283" spans="2:46" ht="15.75" thickBot="1">
      <c r="B283" s="541" t="s">
        <v>718</v>
      </c>
      <c r="C283" s="579"/>
      <c r="D283" s="537"/>
      <c r="E283" s="568"/>
      <c r="F283" s="1322"/>
      <c r="G283" s="1127"/>
      <c r="H283" s="1322"/>
      <c r="I283" s="1323" t="s">
        <v>719</v>
      </c>
      <c r="J283" s="1324" t="s">
        <v>720</v>
      </c>
      <c r="K283" s="1325" t="s">
        <v>721</v>
      </c>
      <c r="L283" s="1326" t="s">
        <v>722</v>
      </c>
      <c r="M283" s="1325" t="s">
        <v>723</v>
      </c>
      <c r="N283" s="1327" t="s">
        <v>724</v>
      </c>
      <c r="O283" s="1328" t="s">
        <v>725</v>
      </c>
      <c r="P283" s="1329" t="s">
        <v>726</v>
      </c>
      <c r="Q283" s="1330" t="s">
        <v>490</v>
      </c>
      <c r="AG283" s="705"/>
      <c r="AH283" s="705"/>
      <c r="AI283" s="705"/>
      <c r="AJ283" s="713"/>
      <c r="AK283" s="705"/>
      <c r="AL283" s="705"/>
      <c r="AM283" s="705"/>
      <c r="AN283" s="705"/>
      <c r="AO283" s="706"/>
      <c r="AP283" s="706"/>
      <c r="AQ283" s="705"/>
      <c r="AR283" s="705"/>
      <c r="AS283" s="705"/>
    </row>
    <row r="284" spans="2:46" ht="16.5" customHeight="1">
      <c r="B284" s="99"/>
      <c r="C284" s="774" t="s">
        <v>199</v>
      </c>
      <c r="D284" s="543"/>
      <c r="E284" s="1331"/>
      <c r="F284" s="545"/>
      <c r="G284" s="545"/>
      <c r="H284" s="775"/>
      <c r="I284" s="1392"/>
      <c r="J284" s="1392"/>
      <c r="K284" s="1429"/>
      <c r="L284" s="1392"/>
      <c r="M284" s="1392"/>
      <c r="N284" s="1392"/>
      <c r="O284" s="1392"/>
      <c r="P284" s="1393"/>
      <c r="Q284" s="1413"/>
      <c r="V284" s="44"/>
      <c r="W284" s="44"/>
      <c r="X284" s="789"/>
      <c r="AA284" s="13"/>
      <c r="AD284" s="24"/>
      <c r="AE284" s="30"/>
    </row>
    <row r="285" spans="2:46" ht="14.25" customHeight="1">
      <c r="B285" s="2590" t="s">
        <v>360</v>
      </c>
      <c r="C285" s="256" t="s">
        <v>971</v>
      </c>
      <c r="D285" s="551">
        <v>60</v>
      </c>
      <c r="E285" s="1359">
        <v>11.885999999999999</v>
      </c>
      <c r="F285" s="1359">
        <v>1.4E-2</v>
      </c>
      <c r="G285" s="1359">
        <v>1.7000000000000001E-2</v>
      </c>
      <c r="H285" s="1298">
        <v>0</v>
      </c>
      <c r="I285" s="1359">
        <v>31.346</v>
      </c>
      <c r="J285" s="1359">
        <v>20.372</v>
      </c>
      <c r="K285" s="1359">
        <v>9.6069999999999993</v>
      </c>
      <c r="L285" s="1359">
        <v>0.40100000000000002</v>
      </c>
      <c r="M285" s="1359">
        <v>57.4</v>
      </c>
      <c r="N285" s="1359">
        <v>1.24E-2</v>
      </c>
      <c r="O285" s="1359">
        <v>0</v>
      </c>
      <c r="P285" s="1359">
        <v>7.0000000000000007E-2</v>
      </c>
      <c r="Q285" s="589">
        <v>4</v>
      </c>
      <c r="V285" s="222"/>
      <c r="W285" s="152"/>
      <c r="X285" s="789"/>
      <c r="AB285" s="18"/>
      <c r="AD285" s="2"/>
      <c r="AE285" s="32"/>
      <c r="AP285" s="43"/>
      <c r="AR285" s="43"/>
    </row>
    <row r="286" spans="2:46" ht="15.75" customHeight="1">
      <c r="B286" s="1272" t="s">
        <v>503</v>
      </c>
      <c r="C286" s="1088" t="s">
        <v>504</v>
      </c>
      <c r="D286" s="551">
        <v>100</v>
      </c>
      <c r="E286" s="386">
        <v>1.66</v>
      </c>
      <c r="F286" s="380">
        <v>7.9000000000000001E-2</v>
      </c>
      <c r="G286" s="387">
        <v>0.11</v>
      </c>
      <c r="H286" s="1384">
        <v>132.785</v>
      </c>
      <c r="I286" s="1359">
        <v>87.66</v>
      </c>
      <c r="J286" s="1359">
        <v>68.739999999999995</v>
      </c>
      <c r="K286" s="1359">
        <v>13.254</v>
      </c>
      <c r="L286" s="1359">
        <v>2.3969999999999998</v>
      </c>
      <c r="M286" s="1359">
        <v>36.75</v>
      </c>
      <c r="N286" s="2401">
        <v>0.01</v>
      </c>
      <c r="O286" s="1359">
        <v>0.01</v>
      </c>
      <c r="P286" s="2393">
        <v>0.65</v>
      </c>
      <c r="Q286" s="580">
        <v>53</v>
      </c>
      <c r="V286" s="44"/>
      <c r="W286" s="222"/>
      <c r="X286" s="789"/>
      <c r="AA286" s="688"/>
      <c r="AB286" s="653"/>
      <c r="AC286" s="653"/>
      <c r="AD286" s="653"/>
      <c r="AE286" s="653"/>
      <c r="AJ286" s="715"/>
      <c r="AR286" s="43"/>
    </row>
    <row r="287" spans="2:46" ht="13.5" customHeight="1">
      <c r="B287" s="1272" t="s">
        <v>321</v>
      </c>
      <c r="C287" s="495" t="s">
        <v>379</v>
      </c>
      <c r="D287" s="561">
        <v>180</v>
      </c>
      <c r="E287" s="1359">
        <v>1.913</v>
      </c>
      <c r="F287" s="1359">
        <v>0.14599999999999999</v>
      </c>
      <c r="G287" s="1359">
        <v>0.26</v>
      </c>
      <c r="H287" s="1298">
        <v>45.33</v>
      </c>
      <c r="I287" s="1359">
        <v>19.27</v>
      </c>
      <c r="J287" s="1359">
        <v>28.76</v>
      </c>
      <c r="K287" s="1359">
        <v>6.72</v>
      </c>
      <c r="L287" s="1359">
        <v>1.06</v>
      </c>
      <c r="M287" s="1359">
        <v>91.28</v>
      </c>
      <c r="N287" s="1359">
        <v>0</v>
      </c>
      <c r="O287" s="1359">
        <v>0</v>
      </c>
      <c r="P287" s="1359">
        <v>0.37</v>
      </c>
      <c r="Q287" s="557">
        <v>34</v>
      </c>
      <c r="V287" s="44"/>
      <c r="W287" s="222"/>
      <c r="X287" s="789"/>
      <c r="AA287" s="689"/>
      <c r="AB287" s="689"/>
      <c r="AC287" s="689"/>
      <c r="AD287" s="689"/>
      <c r="AE287" s="689"/>
      <c r="AG287" s="440"/>
      <c r="AH287" s="40"/>
    </row>
    <row r="288" spans="2:46">
      <c r="B288" s="1530" t="s">
        <v>827</v>
      </c>
      <c r="C288" s="595" t="s">
        <v>644</v>
      </c>
      <c r="D288" s="561">
        <v>200</v>
      </c>
      <c r="E288" s="2392">
        <v>0.216</v>
      </c>
      <c r="F288" s="380">
        <v>1E-3</v>
      </c>
      <c r="G288" s="380">
        <v>1E-3</v>
      </c>
      <c r="H288" s="1384">
        <v>12.15</v>
      </c>
      <c r="I288" s="1359">
        <v>43.411000000000001</v>
      </c>
      <c r="J288" s="1359">
        <v>10.58</v>
      </c>
      <c r="K288" s="1359">
        <v>0.55800000000000005</v>
      </c>
      <c r="L288" s="1359">
        <v>0.185</v>
      </c>
      <c r="M288" s="1359">
        <v>51.27</v>
      </c>
      <c r="N288" s="1359">
        <v>0</v>
      </c>
      <c r="O288" s="1359">
        <v>7.0000000000000001E-3</v>
      </c>
      <c r="P288" s="2393">
        <v>0.02</v>
      </c>
      <c r="Q288" s="580">
        <v>82</v>
      </c>
      <c r="V288" s="44"/>
      <c r="W288" s="44"/>
      <c r="X288" s="789"/>
      <c r="AA288" s="1"/>
      <c r="AB288" s="1"/>
      <c r="AC288" s="1"/>
      <c r="AD288" s="1"/>
      <c r="AH288" s="40"/>
    </row>
    <row r="289" spans="2:35">
      <c r="B289" s="1272" t="s">
        <v>10</v>
      </c>
      <c r="C289" s="556" t="s">
        <v>11</v>
      </c>
      <c r="D289" s="561">
        <v>50</v>
      </c>
      <c r="E289" s="2392">
        <v>0.1</v>
      </c>
      <c r="F289" s="380">
        <v>0.02</v>
      </c>
      <c r="G289" s="380">
        <v>1.7000000000000001E-2</v>
      </c>
      <c r="H289" s="1298">
        <v>0</v>
      </c>
      <c r="I289" s="1294">
        <v>79.166700000000006</v>
      </c>
      <c r="J289" s="1294">
        <v>64.5</v>
      </c>
      <c r="K289" s="1294">
        <v>20.5</v>
      </c>
      <c r="L289" s="1294">
        <v>0.05</v>
      </c>
      <c r="M289" s="2520">
        <v>37.167000000000002</v>
      </c>
      <c r="N289" s="1294">
        <v>0</v>
      </c>
      <c r="O289" s="1294">
        <v>0</v>
      </c>
      <c r="P289" s="1294">
        <v>0</v>
      </c>
      <c r="Q289" s="557">
        <v>11</v>
      </c>
      <c r="V289" s="44"/>
      <c r="W289" s="44"/>
      <c r="X289" s="789"/>
      <c r="AA289" s="44"/>
      <c r="AB289" s="223"/>
      <c r="AC289" s="44"/>
      <c r="AD289" s="44"/>
      <c r="AE289" s="153"/>
      <c r="AG289" s="2"/>
      <c r="AH289" s="40"/>
    </row>
    <row r="290" spans="2:35" ht="15.75" thickBot="1">
      <c r="B290" s="1272" t="s">
        <v>10</v>
      </c>
      <c r="C290" s="563" t="s">
        <v>792</v>
      </c>
      <c r="D290" s="574">
        <v>30</v>
      </c>
      <c r="E290" s="2402">
        <v>0</v>
      </c>
      <c r="F290" s="381">
        <v>0.06</v>
      </c>
      <c r="G290" s="381">
        <v>0</v>
      </c>
      <c r="H290" s="1465">
        <v>0</v>
      </c>
      <c r="I290" s="1294">
        <v>24.9</v>
      </c>
      <c r="J290" s="1294">
        <v>58.2</v>
      </c>
      <c r="K290" s="381">
        <v>17.100000000000001</v>
      </c>
      <c r="L290" s="1294">
        <v>0.03</v>
      </c>
      <c r="M290" s="1294">
        <v>43.2</v>
      </c>
      <c r="N290" s="1294">
        <v>8.9999999999999998E-4</v>
      </c>
      <c r="O290" s="1294">
        <v>0</v>
      </c>
      <c r="P290" s="2417">
        <v>0</v>
      </c>
      <c r="Q290" s="557">
        <v>12</v>
      </c>
      <c r="V290" s="792"/>
      <c r="W290" s="793"/>
      <c r="X290" s="2310"/>
      <c r="Y290" s="210"/>
      <c r="Z290" s="22"/>
      <c r="AA290" s="153"/>
      <c r="AB290" s="147"/>
      <c r="AC290" s="153"/>
      <c r="AD290" s="153"/>
      <c r="AE290" s="153"/>
      <c r="AG290" s="32"/>
      <c r="AH290" s="4"/>
      <c r="AI290" s="8"/>
    </row>
    <row r="291" spans="2:35" ht="14.25" customHeight="1">
      <c r="B291" s="1404" t="s">
        <v>283</v>
      </c>
      <c r="C291" s="168"/>
      <c r="D291" s="2302">
        <f>SUM(D285:D290)</f>
        <v>620</v>
      </c>
      <c r="E291" s="566">
        <f>SUM(E285:E290)</f>
        <v>15.774999999999999</v>
      </c>
      <c r="F291" s="1353">
        <f>SUM(F285:F290)</f>
        <v>0.32</v>
      </c>
      <c r="G291" s="1353">
        <f t="shared" ref="G291:P291" si="48">SUM(G285:G290)</f>
        <v>0.40500000000000003</v>
      </c>
      <c r="H291" s="1353">
        <f>SUM(H285:H290)</f>
        <v>190.26500000000001</v>
      </c>
      <c r="I291" s="1353">
        <f t="shared" si="48"/>
        <v>285.75369999999998</v>
      </c>
      <c r="J291" s="1353">
        <f t="shared" si="48"/>
        <v>251.15199999999999</v>
      </c>
      <c r="K291" s="1353">
        <f t="shared" si="48"/>
        <v>67.739000000000004</v>
      </c>
      <c r="L291" s="1353">
        <f t="shared" si="48"/>
        <v>4.1230000000000002</v>
      </c>
      <c r="M291" s="1353">
        <f t="shared" si="48"/>
        <v>317.06700000000001</v>
      </c>
      <c r="N291" s="1353">
        <f t="shared" si="48"/>
        <v>2.3300000000000001E-2</v>
      </c>
      <c r="O291" s="1353">
        <f t="shared" si="48"/>
        <v>1.7000000000000001E-2</v>
      </c>
      <c r="P291" s="1389">
        <f t="shared" si="48"/>
        <v>1.1099999999999999</v>
      </c>
      <c r="Q291" s="1358"/>
      <c r="V291" s="2313"/>
      <c r="W291" s="1289"/>
      <c r="X291" s="1289"/>
      <c r="Y291" s="1029"/>
      <c r="Z291" s="1"/>
      <c r="AA291" s="153"/>
      <c r="AB291" s="153"/>
      <c r="AC291" s="153"/>
      <c r="AD291" s="153"/>
      <c r="AE291" s="153"/>
      <c r="AG291" s="32"/>
      <c r="AH291" s="13"/>
      <c r="AI291" s="8"/>
    </row>
    <row r="292" spans="2:35" ht="12.75" customHeight="1">
      <c r="B292" s="1343"/>
      <c r="C292" s="2298" t="s">
        <v>12</v>
      </c>
      <c r="D292" s="2291">
        <v>0.25</v>
      </c>
      <c r="E292" s="1398">
        <v>17.5</v>
      </c>
      <c r="F292" s="2413">
        <v>0.35</v>
      </c>
      <c r="G292" s="1399">
        <v>0.4</v>
      </c>
      <c r="H292" s="1345">
        <v>225</v>
      </c>
      <c r="I292" s="2413">
        <v>300</v>
      </c>
      <c r="J292" s="1399">
        <v>300</v>
      </c>
      <c r="K292" s="1345">
        <v>75</v>
      </c>
      <c r="L292" s="2413">
        <v>4.5</v>
      </c>
      <c r="M292" s="1346">
        <v>300</v>
      </c>
      <c r="N292" s="2413">
        <v>2.5000000000000001E-2</v>
      </c>
      <c r="O292" s="1399">
        <v>1.2500000000000001E-2</v>
      </c>
      <c r="P292" s="1345">
        <v>1</v>
      </c>
      <c r="Q292" s="1358"/>
      <c r="V292" s="1"/>
      <c r="W292" s="1"/>
      <c r="X292" s="1"/>
      <c r="Y292" s="1"/>
      <c r="Z292" s="1"/>
      <c r="AA292" s="44"/>
      <c r="AB292" s="44"/>
      <c r="AC292" s="44"/>
      <c r="AD292" s="44"/>
      <c r="AE292" s="153"/>
      <c r="AG292" s="117"/>
    </row>
    <row r="293" spans="2:35" ht="17.25" customHeight="1" thickBot="1">
      <c r="B293" s="237"/>
      <c r="C293" s="1347" t="s">
        <v>941</v>
      </c>
      <c r="D293" s="1348" t="s">
        <v>280</v>
      </c>
      <c r="E293" s="1416">
        <f>(E291*100/E315)-25</f>
        <v>-2.4642857142857189</v>
      </c>
      <c r="F293" s="1370">
        <f t="shared" ref="F293:O293" si="49">(F291*100/F315)-25</f>
        <v>-2.1428571428571423</v>
      </c>
      <c r="G293" s="1370">
        <f t="shared" si="49"/>
        <v>0.3125</v>
      </c>
      <c r="H293" s="1370">
        <f t="shared" si="49"/>
        <v>-3.8594444444444456</v>
      </c>
      <c r="I293" s="1370">
        <f t="shared" si="49"/>
        <v>-1.1871916666666671</v>
      </c>
      <c r="J293" s="1370">
        <f t="shared" si="49"/>
        <v>-4.0706666666666678</v>
      </c>
      <c r="K293" s="1370">
        <f t="shared" si="49"/>
        <v>-2.4203333333333319</v>
      </c>
      <c r="L293" s="1370">
        <f t="shared" si="49"/>
        <v>-2.094444444444445</v>
      </c>
      <c r="M293" s="1370">
        <f t="shared" si="49"/>
        <v>1.4222500000000018</v>
      </c>
      <c r="N293" s="1370">
        <f t="shared" si="49"/>
        <v>-1.6999999999999993</v>
      </c>
      <c r="O293" s="1370">
        <f t="shared" si="49"/>
        <v>9</v>
      </c>
      <c r="P293" s="1371">
        <f>(P291*100/P315)-25</f>
        <v>2.7499999999999964</v>
      </c>
      <c r="Q293" s="1358"/>
      <c r="V293" s="44"/>
      <c r="W293" s="44"/>
      <c r="X293" s="789"/>
      <c r="AA293" s="153"/>
      <c r="AB293" s="153"/>
      <c r="AC293" s="153"/>
      <c r="AD293" s="153"/>
      <c r="AE293" s="153"/>
      <c r="AH293" s="169"/>
    </row>
    <row r="294" spans="2:35" ht="15.75" customHeight="1">
      <c r="B294" s="99"/>
      <c r="C294" s="542" t="s">
        <v>152</v>
      </c>
      <c r="D294" s="88"/>
      <c r="E294" s="1471"/>
      <c r="F294" s="2418"/>
      <c r="G294" s="2418"/>
      <c r="H294" s="2418"/>
      <c r="I294" s="2419"/>
      <c r="J294" s="2419"/>
      <c r="K294" s="2419"/>
      <c r="L294" s="2419"/>
      <c r="M294" s="2419"/>
      <c r="N294" s="2419"/>
      <c r="O294" s="2419"/>
      <c r="P294" s="2541"/>
      <c r="Q294" s="2276"/>
      <c r="V294" s="383"/>
      <c r="W294" s="720"/>
      <c r="X294" s="789"/>
      <c r="AA294" s="44"/>
      <c r="AB294" s="44"/>
      <c r="AC294" s="44"/>
      <c r="AD294" s="44"/>
      <c r="AE294" s="153"/>
    </row>
    <row r="295" spans="2:35" ht="15" customHeight="1">
      <c r="B295" s="1350" t="s">
        <v>645</v>
      </c>
      <c r="C295" s="560" t="s">
        <v>375</v>
      </c>
      <c r="D295" s="2534">
        <v>60</v>
      </c>
      <c r="E295" s="2392">
        <v>15</v>
      </c>
      <c r="F295" s="380">
        <v>0.04</v>
      </c>
      <c r="G295" s="380">
        <v>0.02</v>
      </c>
      <c r="H295" s="1384">
        <v>79.8</v>
      </c>
      <c r="I295" s="2394">
        <v>8.4</v>
      </c>
      <c r="J295" s="2394">
        <v>16</v>
      </c>
      <c r="K295" s="2394">
        <v>12</v>
      </c>
      <c r="L295" s="2394">
        <v>0.54</v>
      </c>
      <c r="M295" s="1359">
        <v>74</v>
      </c>
      <c r="N295" s="2416">
        <v>0.02</v>
      </c>
      <c r="O295" s="1359">
        <v>2.3999999999999998E-3</v>
      </c>
      <c r="P295" s="2412">
        <v>0.12</v>
      </c>
      <c r="Q295" s="2536">
        <v>2</v>
      </c>
      <c r="V295" s="383"/>
      <c r="W295" s="720"/>
      <c r="X295" s="789"/>
      <c r="AA295" s="44"/>
      <c r="AB295" s="44"/>
      <c r="AC295" s="44"/>
      <c r="AD295" s="44"/>
      <c r="AE295" s="153"/>
    </row>
    <row r="296" spans="2:35" ht="15" customHeight="1">
      <c r="B296" s="1530" t="s">
        <v>828</v>
      </c>
      <c r="C296" s="1417" t="s">
        <v>277</v>
      </c>
      <c r="D296" s="2534">
        <v>250</v>
      </c>
      <c r="E296" s="2443">
        <v>1.7999999999999999E-2</v>
      </c>
      <c r="F296" s="384">
        <v>9.2999999999999999E-2</v>
      </c>
      <c r="G296" s="384">
        <v>0.18099999999999999</v>
      </c>
      <c r="H296" s="1384">
        <v>79.424999999999997</v>
      </c>
      <c r="I296" s="1359">
        <v>12.505000000000001</v>
      </c>
      <c r="J296" s="1359">
        <v>4.3099999999999996</v>
      </c>
      <c r="K296" s="1359">
        <v>9.5250000000000004</v>
      </c>
      <c r="L296" s="1359">
        <v>0.64900000000000002</v>
      </c>
      <c r="M296" s="1359">
        <v>48.58</v>
      </c>
      <c r="N296" s="1359">
        <v>7.0000000000000001E-3</v>
      </c>
      <c r="O296" s="1359">
        <v>2E-3</v>
      </c>
      <c r="P296" s="2412">
        <v>1.2210000000000001</v>
      </c>
      <c r="Q296" s="2537">
        <v>20</v>
      </c>
      <c r="V296" s="44"/>
      <c r="W296" s="222"/>
      <c r="X296" s="789"/>
      <c r="AA296" s="46"/>
      <c r="AB296" s="214"/>
      <c r="AC296" s="214"/>
      <c r="AD296" s="46"/>
      <c r="AE296" s="66"/>
    </row>
    <row r="297" spans="2:35">
      <c r="B297" s="1272" t="s">
        <v>433</v>
      </c>
      <c r="C297" s="249" t="s">
        <v>489</v>
      </c>
      <c r="D297" s="2534">
        <v>100</v>
      </c>
      <c r="E297" s="2531">
        <v>5.6000000000000001E-2</v>
      </c>
      <c r="F297" s="2532">
        <v>9.0999999999999998E-2</v>
      </c>
      <c r="G297" s="2532">
        <v>0.161</v>
      </c>
      <c r="H297" s="1388">
        <v>47.52</v>
      </c>
      <c r="I297" s="1294">
        <v>21.04</v>
      </c>
      <c r="J297" s="1294">
        <v>62.29</v>
      </c>
      <c r="K297" s="1294">
        <v>8.8450000000000006</v>
      </c>
      <c r="L297" s="1294">
        <v>2.7719999999999998</v>
      </c>
      <c r="M297" s="1294">
        <v>40.277999999999999</v>
      </c>
      <c r="N297" s="1294">
        <v>5.0000000000000001E-3</v>
      </c>
      <c r="O297" s="1294">
        <v>8.9999999999999993E-3</v>
      </c>
      <c r="P297" s="2542">
        <v>5.2999999999999999E-2</v>
      </c>
      <c r="Q297" s="2538">
        <v>71</v>
      </c>
      <c r="V297" s="153"/>
      <c r="W297" s="153"/>
      <c r="X297" s="789"/>
      <c r="AA297" s="1"/>
      <c r="AB297" s="1"/>
      <c r="AC297" s="1"/>
      <c r="AD297" s="1"/>
      <c r="AG297" s="45"/>
      <c r="AH297" s="4"/>
      <c r="AI297" s="46"/>
    </row>
    <row r="298" spans="2:35">
      <c r="B298" s="2591" t="s">
        <v>952</v>
      </c>
      <c r="C298" s="249" t="s">
        <v>386</v>
      </c>
      <c r="D298" s="2528" t="s">
        <v>646</v>
      </c>
      <c r="E298" s="372">
        <v>0.23</v>
      </c>
      <c r="F298" s="374">
        <v>0.126</v>
      </c>
      <c r="G298" s="1277">
        <v>0.11899999999999999</v>
      </c>
      <c r="H298" s="1385">
        <v>66.58</v>
      </c>
      <c r="I298" s="373">
        <v>18.16</v>
      </c>
      <c r="J298" s="374">
        <v>14.5</v>
      </c>
      <c r="K298" s="373">
        <v>9.9120000000000008</v>
      </c>
      <c r="L298" s="374">
        <v>1.18</v>
      </c>
      <c r="M298" s="373">
        <v>1.61</v>
      </c>
      <c r="N298" s="1430">
        <v>7.0000000000000001E-3</v>
      </c>
      <c r="O298" s="373">
        <v>3.2000000000000002E-3</v>
      </c>
      <c r="P298" s="2543">
        <v>6.0000000000000001E-3</v>
      </c>
      <c r="Q298" s="2530">
        <v>35</v>
      </c>
      <c r="V298" s="44"/>
      <c r="W298" s="44"/>
      <c r="X298" s="789"/>
      <c r="AA298" s="383"/>
      <c r="AB298" s="720"/>
      <c r="AC298" s="383"/>
      <c r="AD298" s="383"/>
      <c r="AE298" s="153"/>
      <c r="AG298" s="385"/>
      <c r="AH298" s="4"/>
      <c r="AI298" s="46"/>
    </row>
    <row r="299" spans="2:35" ht="10.5" customHeight="1">
      <c r="B299" s="2589"/>
      <c r="C299" s="248" t="s">
        <v>591</v>
      </c>
      <c r="D299" s="2529"/>
      <c r="E299" s="2467"/>
      <c r="F299" s="2397"/>
      <c r="G299" s="2433"/>
      <c r="H299" s="1535"/>
      <c r="I299" s="2533"/>
      <c r="J299" s="2448"/>
      <c r="K299" s="2533"/>
      <c r="L299" s="2448"/>
      <c r="M299" s="2533"/>
      <c r="N299" s="2448"/>
      <c r="O299" s="2533"/>
      <c r="P299" s="2544"/>
      <c r="Q299" s="1205"/>
      <c r="V299" s="44"/>
      <c r="W299" s="44"/>
      <c r="X299" s="805"/>
      <c r="AA299" s="44"/>
      <c r="AB299" s="44"/>
      <c r="AC299" s="44"/>
      <c r="AD299" s="44"/>
      <c r="AE299" s="119"/>
      <c r="AG299" s="44"/>
      <c r="AH299" s="4"/>
      <c r="AI299" s="8"/>
    </row>
    <row r="300" spans="2:35" ht="14.25" customHeight="1">
      <c r="B300" s="1272" t="s">
        <v>9</v>
      </c>
      <c r="C300" s="185" t="s">
        <v>587</v>
      </c>
      <c r="D300" s="2534">
        <v>200</v>
      </c>
      <c r="E300" s="2430">
        <v>2.33</v>
      </c>
      <c r="F300" s="2431">
        <v>2E-3</v>
      </c>
      <c r="G300" s="2431">
        <v>4.0000000000000001E-3</v>
      </c>
      <c r="H300" s="1535">
        <v>0</v>
      </c>
      <c r="I300" s="2397">
        <v>70.400000000000006</v>
      </c>
      <c r="J300" s="2397">
        <v>36</v>
      </c>
      <c r="K300" s="2397">
        <v>0.8</v>
      </c>
      <c r="L300" s="2397">
        <v>1.31</v>
      </c>
      <c r="M300" s="2397">
        <v>152</v>
      </c>
      <c r="N300" s="2397">
        <v>0</v>
      </c>
      <c r="O300" s="2397">
        <v>0</v>
      </c>
      <c r="P300" s="2545">
        <v>0</v>
      </c>
      <c r="Q300" s="2539">
        <v>76</v>
      </c>
      <c r="V300" s="44"/>
      <c r="W300" s="44"/>
      <c r="X300" s="789"/>
      <c r="AA300" s="691"/>
      <c r="AB300" s="691"/>
      <c r="AC300" s="692"/>
      <c r="AD300" s="690"/>
      <c r="AE300" s="430"/>
      <c r="AG300" s="44"/>
      <c r="AH300" s="4"/>
      <c r="AI300" s="8"/>
    </row>
    <row r="301" spans="2:35" ht="13.5" customHeight="1">
      <c r="B301" s="1272" t="s">
        <v>10</v>
      </c>
      <c r="C301" s="556" t="s">
        <v>11</v>
      </c>
      <c r="D301" s="2534">
        <v>60</v>
      </c>
      <c r="E301" s="2392">
        <v>0.12</v>
      </c>
      <c r="F301" s="380">
        <v>0.02</v>
      </c>
      <c r="G301" s="380">
        <v>0.02</v>
      </c>
      <c r="H301" s="1298">
        <v>0</v>
      </c>
      <c r="I301" s="1359">
        <v>95</v>
      </c>
      <c r="J301" s="1359">
        <v>77.400000000000006</v>
      </c>
      <c r="K301" s="1359">
        <v>24.6</v>
      </c>
      <c r="L301" s="2393">
        <v>0.06</v>
      </c>
      <c r="M301" s="2469">
        <v>44.6</v>
      </c>
      <c r="N301" s="1359">
        <v>0</v>
      </c>
      <c r="O301" s="1359">
        <v>0</v>
      </c>
      <c r="P301" s="2412">
        <v>0</v>
      </c>
      <c r="Q301" s="2536">
        <v>11</v>
      </c>
      <c r="V301" s="152"/>
      <c r="W301" s="44"/>
      <c r="X301" s="789"/>
      <c r="AA301" s="44"/>
      <c r="AB301" s="44"/>
      <c r="AC301" s="44"/>
      <c r="AD301" s="44"/>
      <c r="AE301" s="153"/>
      <c r="AG301" s="33"/>
      <c r="AH301" s="4"/>
      <c r="AI301" s="8"/>
    </row>
    <row r="302" spans="2:35" ht="14.25" customHeight="1">
      <c r="B302" s="1351" t="s">
        <v>10</v>
      </c>
      <c r="C302" s="495" t="s">
        <v>792</v>
      </c>
      <c r="D302" s="2528">
        <v>40</v>
      </c>
      <c r="E302" s="2402">
        <v>0</v>
      </c>
      <c r="F302" s="381">
        <v>0.08</v>
      </c>
      <c r="G302" s="381">
        <v>0</v>
      </c>
      <c r="H302" s="1298">
        <v>0</v>
      </c>
      <c r="I302" s="242">
        <v>33.200000000000003</v>
      </c>
      <c r="J302" s="242">
        <v>60.54</v>
      </c>
      <c r="K302" s="242">
        <v>19.68</v>
      </c>
      <c r="L302" s="242">
        <v>0.04</v>
      </c>
      <c r="M302" s="1359">
        <v>57.6</v>
      </c>
      <c r="N302" s="1359">
        <v>1E-3</v>
      </c>
      <c r="O302" s="1359">
        <v>0</v>
      </c>
      <c r="P302" s="2412">
        <v>0</v>
      </c>
      <c r="Q302" s="2530">
        <v>12</v>
      </c>
      <c r="V302" s="792"/>
      <c r="W302" s="793"/>
      <c r="X302" s="2310"/>
      <c r="Y302" s="210"/>
      <c r="Z302" s="22"/>
      <c r="AA302" s="44"/>
      <c r="AB302" s="44"/>
      <c r="AC302" s="44"/>
      <c r="AD302" s="44"/>
      <c r="AE302" s="153"/>
      <c r="AH302" s="40"/>
    </row>
    <row r="303" spans="2:35" ht="16.5" customHeight="1" thickBot="1">
      <c r="B303" s="1542" t="s">
        <v>1004</v>
      </c>
      <c r="C303" s="185" t="s">
        <v>1012</v>
      </c>
      <c r="D303" s="2535">
        <v>105</v>
      </c>
      <c r="E303" s="2421">
        <v>53</v>
      </c>
      <c r="F303" s="586">
        <v>4.2000000000000003E-2</v>
      </c>
      <c r="G303" s="586">
        <v>0.06</v>
      </c>
      <c r="H303" s="2457">
        <v>8.4</v>
      </c>
      <c r="I303" s="1370">
        <v>35.99</v>
      </c>
      <c r="J303" s="1370">
        <v>24</v>
      </c>
      <c r="K303" s="1370">
        <v>3.4390000000000001</v>
      </c>
      <c r="L303" s="1370">
        <v>0.29399999999999998</v>
      </c>
      <c r="M303" s="1370">
        <v>66.849999999999994</v>
      </c>
      <c r="N303" s="1370">
        <v>0</v>
      </c>
      <c r="O303" s="1370">
        <v>0</v>
      </c>
      <c r="P303" s="1371">
        <v>0</v>
      </c>
      <c r="Q303" s="2540">
        <v>75</v>
      </c>
      <c r="V303" s="2313"/>
      <c r="W303" s="1289"/>
      <c r="X303" s="1289"/>
      <c r="Y303" s="1029"/>
      <c r="Z303" s="1"/>
      <c r="AA303" s="44"/>
      <c r="AB303" s="44"/>
      <c r="AC303" s="44"/>
      <c r="AD303" s="44"/>
      <c r="AE303" s="153"/>
      <c r="AH303" s="40"/>
    </row>
    <row r="304" spans="2:35" ht="12.75" customHeight="1">
      <c r="B304" s="1404" t="s">
        <v>269</v>
      </c>
      <c r="C304" s="2299"/>
      <c r="D304" s="2302">
        <f>D295+D296+D297+D300+D301+D302+D303+155+35</f>
        <v>1005</v>
      </c>
      <c r="E304" s="575">
        <f>SUM(E295:E303)</f>
        <v>70.754000000000005</v>
      </c>
      <c r="F304" s="1353">
        <f>SUM(F295:F303)</f>
        <v>0.49399999999999999</v>
      </c>
      <c r="G304" s="1353">
        <f t="shared" ref="G304:P304" si="50">SUM(G295:G303)</f>
        <v>0.56499999999999995</v>
      </c>
      <c r="H304" s="1353">
        <f t="shared" si="50"/>
        <v>281.72499999999997</v>
      </c>
      <c r="I304" s="1353">
        <f t="shared" si="50"/>
        <v>294.69499999999999</v>
      </c>
      <c r="J304" s="1353">
        <f t="shared" si="50"/>
        <v>295.04000000000002</v>
      </c>
      <c r="K304" s="1353">
        <f t="shared" si="50"/>
        <v>88.800999999999988</v>
      </c>
      <c r="L304" s="1353">
        <f t="shared" si="50"/>
        <v>6.8449999999999998</v>
      </c>
      <c r="M304" s="1353">
        <f t="shared" si="50"/>
        <v>485.51800000000003</v>
      </c>
      <c r="N304" s="1353">
        <f t="shared" si="50"/>
        <v>0.04</v>
      </c>
      <c r="O304" s="1353">
        <f t="shared" si="50"/>
        <v>1.66E-2</v>
      </c>
      <c r="P304" s="1389">
        <f t="shared" si="50"/>
        <v>1.4000000000000001</v>
      </c>
      <c r="Q304" s="1358"/>
      <c r="V304" s="1"/>
      <c r="W304" s="1"/>
      <c r="X304" s="1"/>
      <c r="Y304" s="1"/>
      <c r="Z304" s="1"/>
      <c r="AA304" s="44"/>
      <c r="AB304" s="44"/>
      <c r="AC304" s="223"/>
      <c r="AD304" s="44"/>
      <c r="AE304" s="153"/>
      <c r="AG304" s="63"/>
      <c r="AH304" s="169"/>
    </row>
    <row r="305" spans="2:35" ht="15.75" thickBot="1">
      <c r="B305" s="1343"/>
      <c r="C305" s="2298" t="s">
        <v>12</v>
      </c>
      <c r="D305" s="2291">
        <v>0.35</v>
      </c>
      <c r="E305" s="1422">
        <v>24.5</v>
      </c>
      <c r="F305" s="1423">
        <v>0.49</v>
      </c>
      <c r="G305" s="1424">
        <v>0.56000000000000005</v>
      </c>
      <c r="H305" s="1461">
        <v>315</v>
      </c>
      <c r="I305" s="1423">
        <v>420</v>
      </c>
      <c r="J305" s="1424">
        <v>420</v>
      </c>
      <c r="K305" s="1461">
        <v>105</v>
      </c>
      <c r="L305" s="1423">
        <v>6.3</v>
      </c>
      <c r="M305" s="2445">
        <v>420</v>
      </c>
      <c r="N305" s="1423">
        <v>3.5000000000000003E-2</v>
      </c>
      <c r="O305" s="1424">
        <v>1.7500000000000002E-2</v>
      </c>
      <c r="P305" s="1461">
        <v>1.4</v>
      </c>
      <c r="Q305" s="1358"/>
      <c r="V305" s="44"/>
      <c r="W305" s="44"/>
      <c r="X305" s="789"/>
      <c r="Y305" s="722"/>
      <c r="AA305" s="46"/>
      <c r="AB305" s="214"/>
      <c r="AC305" s="46"/>
      <c r="AD305" s="46"/>
      <c r="AE305" s="66"/>
      <c r="AG305" s="63"/>
      <c r="AH305" s="4"/>
      <c r="AI305" s="116"/>
    </row>
    <row r="306" spans="2:35" ht="15.75" thickBot="1">
      <c r="B306" s="237"/>
      <c r="C306" s="1347" t="s">
        <v>941</v>
      </c>
      <c r="D306" s="1348" t="s">
        <v>280</v>
      </c>
      <c r="E306" s="1416">
        <f>(E304*100/E315)-35</f>
        <v>66.07714285714286</v>
      </c>
      <c r="F306" s="1370">
        <f t="shared" ref="F306:O306" si="51">(F304*100/F315)-35</f>
        <v>0.2857142857142847</v>
      </c>
      <c r="G306" s="1370">
        <f t="shared" si="51"/>
        <v>0.31249999999999289</v>
      </c>
      <c r="H306" s="1370">
        <f t="shared" si="51"/>
        <v>-3.6972222222222264</v>
      </c>
      <c r="I306" s="1370">
        <f t="shared" si="51"/>
        <v>-10.442083333333333</v>
      </c>
      <c r="J306" s="1370">
        <f t="shared" si="51"/>
        <v>-10.41333333333333</v>
      </c>
      <c r="K306" s="1370">
        <f t="shared" si="51"/>
        <v>-5.3996666666666719</v>
      </c>
      <c r="L306" s="1370">
        <f t="shared" si="51"/>
        <v>3.0277777777777786</v>
      </c>
      <c r="M306" s="1370">
        <f t="shared" si="51"/>
        <v>5.4598333333333358</v>
      </c>
      <c r="N306" s="1370">
        <f t="shared" si="51"/>
        <v>5</v>
      </c>
      <c r="O306" s="1370">
        <f t="shared" si="51"/>
        <v>-1.8000000000000043</v>
      </c>
      <c r="P306" s="1371">
        <f>(P304*100/P315)-35</f>
        <v>0</v>
      </c>
      <c r="Q306" s="1358"/>
      <c r="V306" s="44"/>
      <c r="W306" s="222"/>
      <c r="X306" s="805"/>
      <c r="Y306" s="722"/>
      <c r="AA306" s="714"/>
      <c r="AB306" s="434"/>
      <c r="AC306" s="434"/>
      <c r="AD306" s="435"/>
      <c r="AE306" s="435"/>
      <c r="AH306" s="169"/>
    </row>
    <row r="307" spans="2:35">
      <c r="B307" s="600"/>
      <c r="C307" s="832" t="s">
        <v>324</v>
      </c>
      <c r="D307" s="99"/>
      <c r="E307" s="2446"/>
      <c r="F307" s="2447"/>
      <c r="G307" s="2447"/>
      <c r="H307" s="2447"/>
      <c r="I307" s="2448"/>
      <c r="J307" s="2448"/>
      <c r="K307" s="1223"/>
      <c r="L307" s="2448"/>
      <c r="M307" s="2448"/>
      <c r="N307" s="2448"/>
      <c r="O307" s="2448"/>
      <c r="P307" s="2449"/>
      <c r="Q307" s="1358"/>
      <c r="V307" s="153"/>
      <c r="W307" s="153"/>
      <c r="X307" s="789"/>
      <c r="Y307" s="3"/>
      <c r="AA307" s="432"/>
      <c r="AB307" s="432"/>
      <c r="AC307" s="437"/>
      <c r="AD307" s="437"/>
      <c r="AE307" s="438"/>
      <c r="AG307" s="119"/>
      <c r="AH307" s="4"/>
      <c r="AI307" s="9"/>
    </row>
    <row r="308" spans="2:35">
      <c r="B308" s="2290" t="s">
        <v>830</v>
      </c>
      <c r="C308" s="595" t="s">
        <v>593</v>
      </c>
      <c r="D308" s="429">
        <v>200</v>
      </c>
      <c r="E308" s="2392">
        <v>1.1399999999999999</v>
      </c>
      <c r="F308" s="380">
        <v>0</v>
      </c>
      <c r="G308" s="380">
        <v>5.0000000000000001E-3</v>
      </c>
      <c r="H308" s="1384">
        <v>0.23</v>
      </c>
      <c r="I308" s="1359">
        <v>4.79</v>
      </c>
      <c r="J308" s="1359">
        <v>4.9000000000000004</v>
      </c>
      <c r="K308" s="1359">
        <v>2.6</v>
      </c>
      <c r="L308" s="1359">
        <v>0.44</v>
      </c>
      <c r="M308" s="1359">
        <v>46.7</v>
      </c>
      <c r="N308" s="1359">
        <v>0</v>
      </c>
      <c r="O308" s="1359">
        <v>0</v>
      </c>
      <c r="P308" s="2393">
        <v>0.224</v>
      </c>
      <c r="Q308" s="628">
        <v>91</v>
      </c>
      <c r="V308" s="792"/>
      <c r="W308" s="793"/>
      <c r="X308" s="2310"/>
      <c r="Y308" s="210"/>
      <c r="Z308" s="22"/>
      <c r="AA308" s="1"/>
      <c r="AB308" s="1"/>
      <c r="AC308" s="1"/>
      <c r="AD308" s="1"/>
      <c r="AG308" s="45"/>
      <c r="AH308" s="4"/>
      <c r="AI308" s="9"/>
    </row>
    <row r="309" spans="2:35" ht="18" customHeight="1">
      <c r="B309" s="156" t="s">
        <v>968</v>
      </c>
      <c r="C309" s="2385" t="s">
        <v>969</v>
      </c>
      <c r="D309" s="551">
        <v>100</v>
      </c>
      <c r="E309" s="2414">
        <v>1.07</v>
      </c>
      <c r="F309" s="381">
        <v>0.04</v>
      </c>
      <c r="G309" s="2415">
        <v>0.16</v>
      </c>
      <c r="H309" s="1465">
        <v>89.9</v>
      </c>
      <c r="I309" s="2400">
        <v>75.099999999999994</v>
      </c>
      <c r="J309" s="1294">
        <v>41.28</v>
      </c>
      <c r="K309" s="2400">
        <v>8.86</v>
      </c>
      <c r="L309" s="1294">
        <v>1.53</v>
      </c>
      <c r="M309" s="2400">
        <v>12.7</v>
      </c>
      <c r="N309" s="1294">
        <v>8.9999999999999993E-3</v>
      </c>
      <c r="O309" s="2400">
        <v>8.8999999999999999E-3</v>
      </c>
      <c r="P309" s="2417">
        <v>0.24</v>
      </c>
      <c r="Q309" s="628">
        <v>54</v>
      </c>
      <c r="Z309" s="722"/>
      <c r="AA309" s="688"/>
      <c r="AB309" s="653"/>
      <c r="AC309" s="653"/>
      <c r="AD309" s="653"/>
      <c r="AE309" s="653"/>
      <c r="AG309" s="385"/>
      <c r="AH309" s="218"/>
      <c r="AI309" s="150"/>
    </row>
    <row r="310" spans="2:35" ht="17.25" customHeight="1" thickBot="1">
      <c r="B310" s="1352" t="s">
        <v>10</v>
      </c>
      <c r="C310" s="563" t="s">
        <v>792</v>
      </c>
      <c r="D310" s="574">
        <v>50</v>
      </c>
      <c r="E310" s="2402">
        <v>0</v>
      </c>
      <c r="F310" s="381">
        <v>0.1</v>
      </c>
      <c r="G310" s="381">
        <v>0</v>
      </c>
      <c r="H310" s="1465">
        <v>0</v>
      </c>
      <c r="I310" s="242">
        <v>41.5</v>
      </c>
      <c r="J310" s="242">
        <v>75.98</v>
      </c>
      <c r="K310" s="242">
        <v>22.8</v>
      </c>
      <c r="L310" s="242">
        <v>0.05</v>
      </c>
      <c r="M310" s="1359">
        <v>72</v>
      </c>
      <c r="N310" s="1359">
        <v>1.25E-3</v>
      </c>
      <c r="O310" s="1359">
        <v>0</v>
      </c>
      <c r="P310" s="2412">
        <v>0</v>
      </c>
      <c r="Q310" s="1403">
        <v>12</v>
      </c>
      <c r="AA310" s="689"/>
      <c r="AB310" s="689"/>
      <c r="AC310" s="689"/>
      <c r="AD310" s="689"/>
      <c r="AE310" s="689"/>
      <c r="AG310" s="32"/>
      <c r="AH310" s="4"/>
      <c r="AI310" s="9"/>
    </row>
    <row r="311" spans="2:35" ht="18.75" customHeight="1">
      <c r="B311" s="565" t="s">
        <v>357</v>
      </c>
      <c r="C311" s="2301"/>
      <c r="D311" s="2302">
        <f>SUM(D308:D310)</f>
        <v>350</v>
      </c>
      <c r="E311" s="575">
        <f>SUM(E308:E310)</f>
        <v>2.21</v>
      </c>
      <c r="F311" s="1353">
        <f>SUM(F308:F310)</f>
        <v>0.14000000000000001</v>
      </c>
      <c r="G311" s="1353">
        <f t="shared" ref="G311:P311" si="52">SUM(G308:G310)</f>
        <v>0.16500000000000001</v>
      </c>
      <c r="H311" s="1353">
        <f t="shared" si="52"/>
        <v>90.13000000000001</v>
      </c>
      <c r="I311" s="1353">
        <f t="shared" si="52"/>
        <v>121.39</v>
      </c>
      <c r="J311" s="1353">
        <f t="shared" si="52"/>
        <v>122.16</v>
      </c>
      <c r="K311" s="1353">
        <f t="shared" si="52"/>
        <v>34.26</v>
      </c>
      <c r="L311" s="1353">
        <f t="shared" si="52"/>
        <v>2.02</v>
      </c>
      <c r="M311" s="1353">
        <f t="shared" si="52"/>
        <v>131.4</v>
      </c>
      <c r="N311" s="1353">
        <f t="shared" si="52"/>
        <v>1.0249999999999999E-2</v>
      </c>
      <c r="O311" s="1353">
        <f t="shared" si="52"/>
        <v>8.8999999999999999E-3</v>
      </c>
      <c r="P311" s="1405">
        <f t="shared" si="52"/>
        <v>0.46399999999999997</v>
      </c>
      <c r="Q311" s="360"/>
      <c r="AA311" s="1"/>
      <c r="AB311" s="1"/>
      <c r="AC311" s="1"/>
      <c r="AD311" s="1"/>
      <c r="AG311" s="32"/>
      <c r="AH311" s="4"/>
      <c r="AI311" s="9"/>
    </row>
    <row r="312" spans="2:35" ht="12.75" customHeight="1">
      <c r="B312" s="1343"/>
      <c r="C312" s="1344" t="s">
        <v>12</v>
      </c>
      <c r="D312" s="2261">
        <v>0.1</v>
      </c>
      <c r="E312" s="1355">
        <v>7</v>
      </c>
      <c r="F312" s="1365">
        <v>0.14000000000000001</v>
      </c>
      <c r="G312" s="1364">
        <v>0.16</v>
      </c>
      <c r="H312" s="1363">
        <v>90</v>
      </c>
      <c r="I312" s="1365">
        <v>120</v>
      </c>
      <c r="J312" s="1364">
        <v>120</v>
      </c>
      <c r="K312" s="1363">
        <v>30</v>
      </c>
      <c r="L312" s="1365">
        <v>1.8</v>
      </c>
      <c r="M312" s="1369">
        <v>120</v>
      </c>
      <c r="N312" s="1365">
        <v>0.01</v>
      </c>
      <c r="O312" s="1364">
        <v>5.0000000000000001E-3</v>
      </c>
      <c r="P312" s="1366">
        <v>0.4</v>
      </c>
      <c r="Q312" s="360"/>
      <c r="AA312" s="691"/>
      <c r="AB312" s="691"/>
      <c r="AC312" s="692"/>
      <c r="AD312" s="692"/>
      <c r="AE312" s="153"/>
      <c r="AG312" s="63"/>
      <c r="AH312" s="169"/>
    </row>
    <row r="313" spans="2:35" ht="15.75" customHeight="1" thickBot="1">
      <c r="B313" s="237"/>
      <c r="C313" s="1347" t="s">
        <v>941</v>
      </c>
      <c r="D313" s="1348" t="s">
        <v>280</v>
      </c>
      <c r="E313" s="1416">
        <f>(E311*100/E315)-10</f>
        <v>-6.8428571428571434</v>
      </c>
      <c r="F313" s="1370">
        <f t="shared" ref="F313:O313" si="53">(F311*100/F315)-10</f>
        <v>0</v>
      </c>
      <c r="G313" s="1370">
        <f t="shared" si="53"/>
        <v>0.3125</v>
      </c>
      <c r="H313" s="1370">
        <f t="shared" si="53"/>
        <v>1.4444444444446702E-2</v>
      </c>
      <c r="I313" s="1370">
        <f t="shared" si="53"/>
        <v>0.11583333333333279</v>
      </c>
      <c r="J313" s="1370">
        <f t="shared" si="53"/>
        <v>0.17999999999999972</v>
      </c>
      <c r="K313" s="1370">
        <f t="shared" si="53"/>
        <v>1.42</v>
      </c>
      <c r="L313" s="1370">
        <f t="shared" si="53"/>
        <v>1.2222222222222214</v>
      </c>
      <c r="M313" s="1370">
        <f t="shared" si="53"/>
        <v>0.94999999999999929</v>
      </c>
      <c r="N313" s="1370">
        <f t="shared" si="53"/>
        <v>0.24999999999999822</v>
      </c>
      <c r="O313" s="1370">
        <f t="shared" si="53"/>
        <v>7.8000000000000007</v>
      </c>
      <c r="P313" s="1371">
        <f>(P311*100/P315)-10</f>
        <v>1.5999999999999996</v>
      </c>
      <c r="Q313" s="360"/>
      <c r="AA313" s="44"/>
      <c r="AB313" s="223"/>
      <c r="AC313" s="44"/>
      <c r="AD313" s="44"/>
      <c r="AE313" s="153"/>
      <c r="AG313" s="63"/>
      <c r="AH313" s="4"/>
      <c r="AI313" s="150"/>
    </row>
    <row r="314" spans="2:35" ht="14.25" customHeight="1" thickBot="1"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360"/>
      <c r="AA314" s="44"/>
      <c r="AB314" s="223"/>
      <c r="AC314" s="44"/>
      <c r="AD314" s="44"/>
      <c r="AE314" s="119"/>
      <c r="AG314" s="32"/>
      <c r="AH314" s="116"/>
      <c r="AI314" s="66"/>
    </row>
    <row r="315" spans="2:35" ht="15.75" thickBot="1">
      <c r="B315" s="2369" t="s">
        <v>959</v>
      </c>
      <c r="C315" s="2262"/>
      <c r="D315" s="2263">
        <v>1</v>
      </c>
      <c r="E315" s="2407">
        <v>70</v>
      </c>
      <c r="F315" s="2408">
        <v>1.4</v>
      </c>
      <c r="G315" s="2408">
        <v>1.6</v>
      </c>
      <c r="H315" s="2264">
        <v>900</v>
      </c>
      <c r="I315" s="2405">
        <v>1200</v>
      </c>
      <c r="J315" s="2406">
        <v>1200</v>
      </c>
      <c r="K315" s="2406">
        <v>300</v>
      </c>
      <c r="L315" s="2409">
        <v>18</v>
      </c>
      <c r="M315" s="2405">
        <v>1200</v>
      </c>
      <c r="N315" s="2409">
        <v>0.1</v>
      </c>
      <c r="O315" s="2409">
        <v>0.05</v>
      </c>
      <c r="P315" s="2410">
        <v>4</v>
      </c>
      <c r="Q315" s="360"/>
      <c r="AA315" s="44"/>
      <c r="AB315" s="44"/>
      <c r="AC315" s="44"/>
      <c r="AD315" s="44"/>
      <c r="AE315" s="153"/>
    </row>
    <row r="316" spans="2:35" ht="15.75" thickBot="1"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360"/>
      <c r="AA316" s="44"/>
      <c r="AB316" s="44"/>
      <c r="AC316" s="44"/>
      <c r="AD316" s="44"/>
      <c r="AE316" s="153"/>
      <c r="AG316" s="32"/>
      <c r="AH316" s="4"/>
      <c r="AI316" s="9"/>
    </row>
    <row r="317" spans="2:35">
      <c r="B317" s="1021"/>
      <c r="C317" s="34" t="s">
        <v>481</v>
      </c>
      <c r="D317" s="35"/>
      <c r="E317" s="145">
        <f>E291+E304</f>
        <v>86.528999999999996</v>
      </c>
      <c r="F317" s="243">
        <f t="shared" ref="F317:P317" si="54">F291+F304</f>
        <v>0.81400000000000006</v>
      </c>
      <c r="G317" s="243">
        <f t="shared" si="54"/>
        <v>0.97</v>
      </c>
      <c r="H317" s="243">
        <f t="shared" si="54"/>
        <v>471.99</v>
      </c>
      <c r="I317" s="243">
        <f t="shared" si="54"/>
        <v>580.44869999999992</v>
      </c>
      <c r="J317" s="243">
        <f t="shared" si="54"/>
        <v>546.19200000000001</v>
      </c>
      <c r="K317" s="243">
        <f t="shared" si="54"/>
        <v>156.54</v>
      </c>
      <c r="L317" s="243">
        <f t="shared" si="54"/>
        <v>10.968</v>
      </c>
      <c r="M317" s="243">
        <f t="shared" si="54"/>
        <v>802.58500000000004</v>
      </c>
      <c r="N317" s="243">
        <f t="shared" si="54"/>
        <v>6.3299999999999995E-2</v>
      </c>
      <c r="O317" s="243">
        <f t="shared" si="54"/>
        <v>3.3600000000000005E-2</v>
      </c>
      <c r="P317" s="1024">
        <f t="shared" si="54"/>
        <v>2.5099999999999998</v>
      </c>
      <c r="Q317" s="360"/>
      <c r="AA317" s="458"/>
      <c r="AB317" s="214"/>
      <c r="AC317" s="204"/>
      <c r="AD317" s="204"/>
      <c r="AE317" s="66"/>
      <c r="AG317" s="32"/>
      <c r="AH317" s="4"/>
      <c r="AI317" s="9"/>
    </row>
    <row r="318" spans="2:35" ht="16.5" customHeight="1">
      <c r="B318" s="513"/>
      <c r="C318" s="1368" t="s">
        <v>12</v>
      </c>
      <c r="D318" s="2261">
        <v>0.6</v>
      </c>
      <c r="E318" s="1355">
        <v>42</v>
      </c>
      <c r="F318" s="1365">
        <v>0.84</v>
      </c>
      <c r="G318" s="1364">
        <v>0.96</v>
      </c>
      <c r="H318" s="1363">
        <v>540</v>
      </c>
      <c r="I318" s="1365">
        <v>720</v>
      </c>
      <c r="J318" s="1364">
        <v>720</v>
      </c>
      <c r="K318" s="1363">
        <v>180</v>
      </c>
      <c r="L318" s="1365">
        <v>10.8</v>
      </c>
      <c r="M318" s="1369">
        <v>720</v>
      </c>
      <c r="N318" s="1365">
        <v>0.06</v>
      </c>
      <c r="O318" s="1364">
        <v>0.03</v>
      </c>
      <c r="P318" s="1366">
        <v>2.4</v>
      </c>
      <c r="Q318" s="360"/>
      <c r="AA318" s="1"/>
      <c r="AB318" s="1"/>
      <c r="AC318" s="1"/>
      <c r="AD318" s="1"/>
      <c r="AG318" s="32"/>
      <c r="AH318" s="4"/>
      <c r="AI318" s="9"/>
    </row>
    <row r="319" spans="2:35" ht="16.5" customHeight="1" thickBot="1">
      <c r="B319" s="237"/>
      <c r="C319" s="1347" t="s">
        <v>941</v>
      </c>
      <c r="D319" s="1348" t="s">
        <v>280</v>
      </c>
      <c r="E319" s="1416">
        <f>(E317*100/E315)-60</f>
        <v>63.612857142857138</v>
      </c>
      <c r="F319" s="1370">
        <f t="shared" ref="F319:O319" si="55">(F317*100/F315)-60</f>
        <v>-1.857142857142847</v>
      </c>
      <c r="G319" s="1370">
        <f t="shared" si="55"/>
        <v>0.625</v>
      </c>
      <c r="H319" s="1370">
        <f t="shared" si="55"/>
        <v>-7.5566666666666649</v>
      </c>
      <c r="I319" s="1370">
        <f t="shared" si="55"/>
        <v>-11.629275000000007</v>
      </c>
      <c r="J319" s="1370">
        <f t="shared" si="55"/>
        <v>-14.484000000000002</v>
      </c>
      <c r="K319" s="1370">
        <f t="shared" si="55"/>
        <v>-7.82</v>
      </c>
      <c r="L319" s="1370">
        <f t="shared" si="55"/>
        <v>0.93333333333333002</v>
      </c>
      <c r="M319" s="1370">
        <f t="shared" si="55"/>
        <v>6.8820833333333269</v>
      </c>
      <c r="N319" s="1370">
        <f t="shared" si="55"/>
        <v>3.2999999999999901</v>
      </c>
      <c r="O319" s="1370">
        <f t="shared" si="55"/>
        <v>7.2000000000000028</v>
      </c>
      <c r="P319" s="1371">
        <f>(P317*100/P315)-60</f>
        <v>2.7499999999999929</v>
      </c>
      <c r="Q319" s="360"/>
      <c r="AA319" s="712"/>
      <c r="AB319" s="147"/>
      <c r="AC319" s="153"/>
      <c r="AD319" s="153"/>
      <c r="AE319" s="153"/>
      <c r="AG319" s="30"/>
      <c r="AH319" s="4"/>
      <c r="AI319" s="9"/>
    </row>
    <row r="320" spans="2:35" ht="15.75" customHeight="1" thickBot="1"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360"/>
      <c r="AA320" s="153"/>
      <c r="AB320" s="153"/>
      <c r="AC320" s="153"/>
      <c r="AD320" s="153"/>
      <c r="AE320" s="153"/>
    </row>
    <row r="321" spans="2:45" ht="14.25" customHeight="1">
      <c r="B321" s="1021"/>
      <c r="C321" s="34" t="s">
        <v>480</v>
      </c>
      <c r="D321" s="35"/>
      <c r="E321" s="145">
        <f>E304+E311</f>
        <v>72.963999999999999</v>
      </c>
      <c r="F321" s="243">
        <f>F304+F311</f>
        <v>0.63400000000000001</v>
      </c>
      <c r="G321" s="243">
        <f t="shared" ref="G321:P321" si="56">G304+G311</f>
        <v>0.73</v>
      </c>
      <c r="H321" s="243">
        <f t="shared" si="56"/>
        <v>371.85499999999996</v>
      </c>
      <c r="I321" s="243">
        <f t="shared" si="56"/>
        <v>416.08499999999998</v>
      </c>
      <c r="J321" s="243">
        <f t="shared" si="56"/>
        <v>417.20000000000005</v>
      </c>
      <c r="K321" s="243">
        <f t="shared" si="56"/>
        <v>123.06099999999998</v>
      </c>
      <c r="L321" s="243">
        <f t="shared" si="56"/>
        <v>8.8650000000000002</v>
      </c>
      <c r="M321" s="243">
        <f t="shared" si="56"/>
        <v>616.91800000000001</v>
      </c>
      <c r="N321" s="243">
        <f t="shared" si="56"/>
        <v>5.0250000000000003E-2</v>
      </c>
      <c r="O321" s="243">
        <f t="shared" si="56"/>
        <v>2.5500000000000002E-2</v>
      </c>
      <c r="P321" s="1024">
        <f t="shared" si="56"/>
        <v>1.8640000000000001</v>
      </c>
      <c r="Q321" s="360"/>
      <c r="AA321" s="44"/>
      <c r="AB321" s="44"/>
      <c r="AC321" s="44"/>
      <c r="AD321" s="44"/>
      <c r="AE321" s="153"/>
    </row>
    <row r="322" spans="2:45">
      <c r="B322" s="513"/>
      <c r="C322" s="1368" t="s">
        <v>12</v>
      </c>
      <c r="D322" s="2261">
        <v>0.45</v>
      </c>
      <c r="E322" s="1355">
        <v>31.5</v>
      </c>
      <c r="F322" s="1365">
        <v>0.63</v>
      </c>
      <c r="G322" s="1364">
        <v>0.72</v>
      </c>
      <c r="H322" s="1364">
        <v>405</v>
      </c>
      <c r="I322" s="1365">
        <v>540</v>
      </c>
      <c r="J322" s="1364">
        <v>540</v>
      </c>
      <c r="K322" s="1364">
        <v>135</v>
      </c>
      <c r="L322" s="1365">
        <v>8.1</v>
      </c>
      <c r="M322" s="1365">
        <v>540</v>
      </c>
      <c r="N322" s="1365">
        <v>4.4999999999999998E-2</v>
      </c>
      <c r="O322" s="1364">
        <v>2.2499999999999999E-2</v>
      </c>
      <c r="P322" s="1366">
        <v>1.8</v>
      </c>
      <c r="Q322" s="360"/>
      <c r="AA322" s="152"/>
      <c r="AB322" s="152"/>
      <c r="AC322" s="152"/>
      <c r="AD322" s="152"/>
      <c r="AE322" s="153"/>
    </row>
    <row r="323" spans="2:45" ht="13.5" customHeight="1" thickBot="1">
      <c r="B323" s="237"/>
      <c r="C323" s="1347" t="s">
        <v>941</v>
      </c>
      <c r="D323" s="1348" t="s">
        <v>280</v>
      </c>
      <c r="E323" s="1416">
        <f>(E321*100/E315)-45</f>
        <v>59.234285714285704</v>
      </c>
      <c r="F323" s="1370">
        <f t="shared" ref="F323:O323" si="57">(F321*100/F315)-45</f>
        <v>0.2857142857142847</v>
      </c>
      <c r="G323" s="1370">
        <f t="shared" si="57"/>
        <v>0.625</v>
      </c>
      <c r="H323" s="1370">
        <f t="shared" si="57"/>
        <v>-3.6827777777777868</v>
      </c>
      <c r="I323" s="1370">
        <f t="shared" si="57"/>
        <v>-10.326250000000002</v>
      </c>
      <c r="J323" s="1370">
        <f t="shared" si="57"/>
        <v>-10.233333333333327</v>
      </c>
      <c r="K323" s="1370">
        <f t="shared" si="57"/>
        <v>-3.9796666666666738</v>
      </c>
      <c r="L323" s="1370">
        <f t="shared" si="57"/>
        <v>4.25</v>
      </c>
      <c r="M323" s="1370">
        <f t="shared" si="57"/>
        <v>6.4098333333333386</v>
      </c>
      <c r="N323" s="1370">
        <f t="shared" si="57"/>
        <v>5.25</v>
      </c>
      <c r="O323" s="1370">
        <f t="shared" si="57"/>
        <v>6</v>
      </c>
      <c r="P323" s="1371">
        <f>(P321*100/P315)-45</f>
        <v>1.6000000000000014</v>
      </c>
      <c r="Q323" s="360"/>
      <c r="AA323" s="44"/>
      <c r="AB323" s="44"/>
      <c r="AC323" s="44"/>
      <c r="AD323" s="44"/>
      <c r="AE323" s="153"/>
      <c r="AJ323" s="20"/>
      <c r="AK323" s="363"/>
      <c r="AM323" s="20"/>
      <c r="AN323" s="20"/>
      <c r="AP323" s="43"/>
    </row>
    <row r="324" spans="2:45" ht="13.5" customHeight="1" thickBot="1"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207"/>
      <c r="Q324" s="360"/>
      <c r="AA324" s="44"/>
      <c r="AB324" s="44"/>
      <c r="AC324" s="44"/>
      <c r="AD324" s="44"/>
      <c r="AE324" s="153"/>
    </row>
    <row r="325" spans="2:45" ht="15" customHeight="1">
      <c r="B325" s="1372" t="s">
        <v>728</v>
      </c>
      <c r="C325" s="34"/>
      <c r="D325" s="35"/>
      <c r="E325" s="1408">
        <f>E291+E304+E311</f>
        <v>88.73899999999999</v>
      </c>
      <c r="F325" s="1361">
        <f>F291+F304+F311</f>
        <v>0.95400000000000007</v>
      </c>
      <c r="G325" s="1361">
        <f t="shared" ref="G325:P325" si="58">G291+G304+G311</f>
        <v>1.135</v>
      </c>
      <c r="H325" s="1361">
        <f t="shared" si="58"/>
        <v>562.12</v>
      </c>
      <c r="I325" s="1361">
        <f t="shared" si="58"/>
        <v>701.8386999999999</v>
      </c>
      <c r="J325" s="1361">
        <f t="shared" si="58"/>
        <v>668.35199999999998</v>
      </c>
      <c r="K325" s="1361">
        <f t="shared" si="58"/>
        <v>190.79999999999998</v>
      </c>
      <c r="L325" s="1361">
        <f t="shared" si="58"/>
        <v>12.988</v>
      </c>
      <c r="M325" s="1361">
        <f t="shared" si="58"/>
        <v>933.98500000000001</v>
      </c>
      <c r="N325" s="1361">
        <f t="shared" si="58"/>
        <v>7.354999999999999E-2</v>
      </c>
      <c r="O325" s="1361">
        <f t="shared" si="58"/>
        <v>4.2500000000000003E-2</v>
      </c>
      <c r="P325" s="1409">
        <f t="shared" si="58"/>
        <v>2.9739999999999998</v>
      </c>
      <c r="Q325" s="360"/>
      <c r="AA325" s="44"/>
      <c r="AB325" s="44"/>
      <c r="AC325" s="223"/>
      <c r="AD325" s="44"/>
      <c r="AE325" s="153"/>
      <c r="AJ325" s="20"/>
      <c r="AK325" s="20"/>
      <c r="AM325" s="20"/>
      <c r="AN325" s="20"/>
      <c r="AP325" s="4"/>
    </row>
    <row r="326" spans="2:45" ht="14.25" customHeight="1">
      <c r="B326" s="1343"/>
      <c r="C326" s="1344" t="s">
        <v>12</v>
      </c>
      <c r="D326" s="2261">
        <v>0.7</v>
      </c>
      <c r="E326" s="1355">
        <v>49</v>
      </c>
      <c r="F326" s="1365">
        <v>0.98</v>
      </c>
      <c r="G326" s="1364">
        <v>1.1200000000000001</v>
      </c>
      <c r="H326" s="1364">
        <v>630</v>
      </c>
      <c r="I326" s="1365">
        <v>840</v>
      </c>
      <c r="J326" s="1364">
        <v>840</v>
      </c>
      <c r="K326" s="1364">
        <v>210</v>
      </c>
      <c r="L326" s="1365">
        <v>12.6</v>
      </c>
      <c r="M326" s="1365">
        <v>840</v>
      </c>
      <c r="N326" s="1365">
        <v>7.0000000000000007E-2</v>
      </c>
      <c r="O326" s="1364">
        <v>3.5000000000000003E-2</v>
      </c>
      <c r="P326" s="1366">
        <v>2.8</v>
      </c>
      <c r="Q326" s="360"/>
      <c r="AA326" s="458"/>
      <c r="AB326" s="214"/>
      <c r="AC326" s="46"/>
      <c r="AD326" s="46"/>
      <c r="AE326" s="66"/>
      <c r="AG326" s="364"/>
      <c r="AH326" s="365"/>
      <c r="AI326" s="366"/>
      <c r="AJ326" s="367"/>
      <c r="AK326" s="42"/>
      <c r="AL326" s="42"/>
      <c r="AM326" s="42"/>
      <c r="AN326" s="42"/>
      <c r="AO326" s="42"/>
      <c r="AP326" s="42"/>
      <c r="AQ326" s="364"/>
      <c r="AR326" s="364"/>
      <c r="AS326" s="698"/>
    </row>
    <row r="327" spans="2:45" ht="15.75" thickBot="1">
      <c r="B327" s="237"/>
      <c r="C327" s="1347" t="s">
        <v>941</v>
      </c>
      <c r="D327" s="1348" t="s">
        <v>280</v>
      </c>
      <c r="E327" s="1416">
        <f>(E325*100/E315)-70</f>
        <v>56.769999999999996</v>
      </c>
      <c r="F327" s="1370">
        <f t="shared" ref="F327:O327" si="59">(F325*100/F315)-70</f>
        <v>-1.857142857142847</v>
      </c>
      <c r="G327" s="1370">
        <f t="shared" si="59"/>
        <v>0.9375</v>
      </c>
      <c r="H327" s="1370">
        <f t="shared" si="59"/>
        <v>-7.5422222222222217</v>
      </c>
      <c r="I327" s="1370">
        <f t="shared" si="59"/>
        <v>-11.513441666666672</v>
      </c>
      <c r="J327" s="1370">
        <f t="shared" si="59"/>
        <v>-14.304000000000002</v>
      </c>
      <c r="K327" s="1370">
        <f t="shared" si="59"/>
        <v>-6.3999999999999986</v>
      </c>
      <c r="L327" s="1370">
        <f t="shared" si="59"/>
        <v>2.1555555555555515</v>
      </c>
      <c r="M327" s="1370">
        <f t="shared" si="59"/>
        <v>7.8320833333333297</v>
      </c>
      <c r="N327" s="1370">
        <f t="shared" si="59"/>
        <v>3.5499999999999829</v>
      </c>
      <c r="O327" s="1370">
        <f t="shared" si="59"/>
        <v>15</v>
      </c>
      <c r="P327" s="1371">
        <f>(P325*100/P315)-70</f>
        <v>4.3499999999999943</v>
      </c>
      <c r="Q327" s="360"/>
      <c r="AA327" s="714"/>
      <c r="AB327" s="434"/>
      <c r="AC327" s="434"/>
      <c r="AD327" s="435"/>
      <c r="AE327" s="435"/>
      <c r="AG327" s="49"/>
      <c r="AH327" s="49"/>
      <c r="AI327" s="49"/>
      <c r="AJ327" s="368"/>
      <c r="AK327" s="49"/>
      <c r="AL327" s="49"/>
      <c r="AM327" s="49"/>
      <c r="AN327" s="49"/>
      <c r="AO327" s="49"/>
      <c r="AP327" s="49"/>
      <c r="AQ327" s="49"/>
      <c r="AR327" s="49"/>
      <c r="AS327" s="49"/>
    </row>
    <row r="328" spans="2:45">
      <c r="K328" s="63"/>
      <c r="P328"/>
      <c r="Q328" s="360"/>
      <c r="AA328" s="432"/>
      <c r="AB328" s="432"/>
      <c r="AC328" s="437"/>
      <c r="AD328" s="437"/>
      <c r="AE328" s="438"/>
      <c r="AG328" s="44"/>
      <c r="AH328" s="44"/>
      <c r="AI328" s="44"/>
      <c r="AJ328" s="111"/>
      <c r="AK328" s="383"/>
      <c r="AL328" s="383"/>
      <c r="AM328" s="383"/>
      <c r="AN328" s="383"/>
      <c r="AO328" s="44"/>
      <c r="AP328" s="223"/>
      <c r="AQ328" s="44"/>
      <c r="AR328" s="44"/>
      <c r="AS328" s="153"/>
    </row>
    <row r="329" spans="2:45">
      <c r="Q329" s="360"/>
      <c r="AA329" s="1"/>
      <c r="AB329" s="1"/>
      <c r="AC329" s="1"/>
      <c r="AD329" s="1"/>
      <c r="AG329" s="705"/>
      <c r="AH329" s="705"/>
      <c r="AI329" s="705"/>
      <c r="AJ329" s="713"/>
      <c r="AK329" s="705"/>
      <c r="AL329" s="705"/>
      <c r="AM329" s="705"/>
      <c r="AN329" s="705"/>
      <c r="AO329" s="706"/>
      <c r="AP329" s="706"/>
      <c r="AQ329" s="705"/>
      <c r="AR329" s="705"/>
      <c r="AS329" s="705"/>
    </row>
    <row r="330" spans="2:45" ht="14.25" customHeight="1">
      <c r="C330" s="1300" t="s">
        <v>695</v>
      </c>
      <c r="D330"/>
      <c r="E330" s="32"/>
      <c r="K330" s="385"/>
      <c r="P330"/>
      <c r="Q330" s="360"/>
      <c r="AA330" s="1"/>
      <c r="AB330" s="1"/>
      <c r="AC330" s="1"/>
      <c r="AD330" s="1"/>
    </row>
    <row r="331" spans="2:45" ht="11.25" customHeight="1">
      <c r="C331" s="7" t="s">
        <v>754</v>
      </c>
      <c r="D331" s="8"/>
      <c r="E331" s="2"/>
      <c r="K331"/>
      <c r="P331"/>
      <c r="Q331" s="360"/>
      <c r="AA331" s="14"/>
      <c r="AB331" s="13"/>
      <c r="AC331" s="13"/>
      <c r="AD331" s="13"/>
    </row>
    <row r="332" spans="2:45" ht="13.5" customHeight="1">
      <c r="C332" s="1" t="s">
        <v>359</v>
      </c>
      <c r="D332"/>
      <c r="E332"/>
      <c r="F332"/>
      <c r="K332" s="63"/>
      <c r="P332"/>
      <c r="Q332" s="360"/>
      <c r="AA332" s="22"/>
      <c r="AB332" s="22"/>
      <c r="AC332" s="22"/>
      <c r="AD332" s="22"/>
      <c r="AE332" s="22"/>
    </row>
    <row r="333" spans="2:45">
      <c r="C333" s="19" t="s">
        <v>282</v>
      </c>
      <c r="E333"/>
      <c r="F333"/>
      <c r="G333" s="19"/>
      <c r="H333" s="19"/>
      <c r="K333" s="119"/>
      <c r="P333"/>
      <c r="Q333" s="360"/>
      <c r="AA333" s="724"/>
      <c r="AB333" s="724"/>
      <c r="AC333" s="724"/>
      <c r="AD333" s="724"/>
      <c r="AE333" s="723"/>
    </row>
    <row r="334" spans="2:45" ht="12.75" customHeight="1">
      <c r="C334" s="1300" t="s">
        <v>694</v>
      </c>
      <c r="D334"/>
      <c r="J334" s="20" t="s">
        <v>0</v>
      </c>
      <c r="K334"/>
      <c r="L334" s="2" t="s">
        <v>317</v>
      </c>
      <c r="M334" s="13"/>
      <c r="N334" s="13"/>
      <c r="O334" s="24"/>
      <c r="Q334" s="360"/>
      <c r="AA334" s="725"/>
      <c r="AB334" s="725"/>
      <c r="AC334" s="725"/>
      <c r="AD334" s="725"/>
      <c r="AE334" s="725"/>
    </row>
    <row r="335" spans="2:45" ht="21">
      <c r="B335" s="43" t="s">
        <v>698</v>
      </c>
      <c r="E335"/>
      <c r="F335"/>
      <c r="G335" s="23" t="s">
        <v>1</v>
      </c>
      <c r="H335" s="19"/>
      <c r="K335" s="32"/>
      <c r="P335"/>
      <c r="Q335" s="360"/>
      <c r="AA335" s="432"/>
      <c r="AB335" s="432"/>
      <c r="AC335" s="432"/>
      <c r="AD335" s="438"/>
      <c r="AE335" s="726"/>
    </row>
    <row r="336" spans="2:45" ht="12" customHeight="1">
      <c r="C336" s="94" t="s">
        <v>740</v>
      </c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360"/>
      <c r="AA336" s="722"/>
      <c r="AB336" s="722"/>
      <c r="AC336" s="722"/>
      <c r="AD336" s="722"/>
    </row>
    <row r="337" spans="2:31" ht="15.75" thickBot="1">
      <c r="E337" s="1516"/>
      <c r="F337" s="1516"/>
      <c r="G337" s="1516"/>
      <c r="H337" s="1516"/>
      <c r="I337" s="1516"/>
      <c r="J337" s="1516"/>
      <c r="K337" s="1516"/>
      <c r="L337" s="1516"/>
      <c r="M337" s="1516"/>
      <c r="N337" s="1516"/>
      <c r="O337" s="1516"/>
      <c r="P337" s="1516"/>
      <c r="Q337" s="360"/>
      <c r="AA337" s="724"/>
      <c r="AB337" s="723"/>
      <c r="AC337" s="723"/>
      <c r="AD337" s="727"/>
      <c r="AE337" s="728"/>
    </row>
    <row r="338" spans="2:31" ht="15.75" thickBot="1">
      <c r="B338" s="1304" t="s">
        <v>700</v>
      </c>
      <c r="C338" s="99"/>
      <c r="D338" s="1376" t="s">
        <v>251</v>
      </c>
      <c r="E338" s="1306" t="s">
        <v>701</v>
      </c>
      <c r="F338" s="1307"/>
      <c r="G338" s="1307"/>
      <c r="H338" s="1308"/>
      <c r="I338" s="1309" t="s">
        <v>730</v>
      </c>
      <c r="J338" s="31"/>
      <c r="K338" s="1310"/>
      <c r="L338" s="31"/>
      <c r="M338" s="31"/>
      <c r="N338" s="31"/>
      <c r="O338" s="31"/>
      <c r="P338" s="54"/>
      <c r="Q338" s="1304" t="s">
        <v>703</v>
      </c>
      <c r="AA338" s="1"/>
      <c r="AB338" s="1"/>
      <c r="AC338" s="1"/>
      <c r="AD338" s="1"/>
    </row>
    <row r="339" spans="2:31" ht="14.25" customHeight="1">
      <c r="B339" s="535" t="s">
        <v>704</v>
      </c>
      <c r="C339" s="530" t="s">
        <v>257</v>
      </c>
      <c r="D339" s="1377" t="s">
        <v>258</v>
      </c>
      <c r="E339" s="1312" t="s">
        <v>705</v>
      </c>
      <c r="F339" s="1313" t="s">
        <v>706</v>
      </c>
      <c r="G339" s="787" t="s">
        <v>707</v>
      </c>
      <c r="H339" s="1314" t="s">
        <v>708</v>
      </c>
      <c r="I339" s="1315" t="s">
        <v>709</v>
      </c>
      <c r="J339" s="1316" t="s">
        <v>710</v>
      </c>
      <c r="K339" s="1317" t="s">
        <v>711</v>
      </c>
      <c r="L339" s="1318" t="s">
        <v>712</v>
      </c>
      <c r="M339" s="1319" t="s">
        <v>713</v>
      </c>
      <c r="N339" s="835" t="s">
        <v>714</v>
      </c>
      <c r="O339" s="1319" t="s">
        <v>715</v>
      </c>
      <c r="P339" s="1320" t="s">
        <v>716</v>
      </c>
      <c r="Q339" s="1321" t="s">
        <v>717</v>
      </c>
      <c r="AA339" s="695"/>
      <c r="AB339" s="695"/>
      <c r="AC339" s="693"/>
      <c r="AD339" s="693"/>
      <c r="AE339" s="694"/>
    </row>
    <row r="340" spans="2:31" ht="11.25" customHeight="1" thickBot="1">
      <c r="B340" s="541" t="s">
        <v>718</v>
      </c>
      <c r="C340" s="579"/>
      <c r="D340" s="537"/>
      <c r="E340" s="56"/>
      <c r="F340" s="1378"/>
      <c r="H340" s="1378"/>
      <c r="I340" s="1379" t="s">
        <v>719</v>
      </c>
      <c r="J340" s="119" t="s">
        <v>720</v>
      </c>
      <c r="K340" s="1380" t="s">
        <v>721</v>
      </c>
      <c r="L340" s="1381" t="s">
        <v>722</v>
      </c>
      <c r="M340" s="1380" t="s">
        <v>723</v>
      </c>
      <c r="N340" s="46" t="s">
        <v>724</v>
      </c>
      <c r="O340" s="1382" t="s">
        <v>725</v>
      </c>
      <c r="P340" s="1383" t="s">
        <v>726</v>
      </c>
      <c r="Q340" s="1330" t="s">
        <v>490</v>
      </c>
    </row>
    <row r="341" spans="2:31" ht="12" customHeight="1">
      <c r="B341" s="88"/>
      <c r="C341" s="774" t="s">
        <v>199</v>
      </c>
      <c r="D341" s="543"/>
      <c r="E341" s="1331"/>
      <c r="F341" s="545"/>
      <c r="G341" s="545"/>
      <c r="H341" s="1412"/>
      <c r="I341" s="1333"/>
      <c r="J341" s="1333"/>
      <c r="K341" s="1459"/>
      <c r="L341" s="1333"/>
      <c r="M341" s="1333"/>
      <c r="N341" s="1333"/>
      <c r="O341" s="1333"/>
      <c r="P341" s="1335"/>
      <c r="Q341" s="1413"/>
      <c r="V341" s="44"/>
      <c r="W341" s="222"/>
      <c r="X341" s="789"/>
    </row>
    <row r="342" spans="2:31">
      <c r="B342" s="2592" t="s">
        <v>195</v>
      </c>
      <c r="C342" s="556" t="s">
        <v>766</v>
      </c>
      <c r="D342" s="561">
        <v>200</v>
      </c>
      <c r="E342" s="2392">
        <v>1.1000000000000001</v>
      </c>
      <c r="F342" s="380">
        <v>0.16889999999999999</v>
      </c>
      <c r="G342" s="380">
        <v>0.21</v>
      </c>
      <c r="H342" s="2450">
        <v>149.44499999999999</v>
      </c>
      <c r="I342" s="1359">
        <v>90.813999999999993</v>
      </c>
      <c r="J342" s="1359">
        <v>91.314999999999998</v>
      </c>
      <c r="K342" s="1359">
        <v>6.12</v>
      </c>
      <c r="L342" s="1359">
        <v>1.1000000000000001</v>
      </c>
      <c r="M342" s="1359">
        <v>123.643</v>
      </c>
      <c r="N342" s="1359">
        <v>5.0000000000000001E-3</v>
      </c>
      <c r="O342" s="1359">
        <v>2.7299999999999998E-3</v>
      </c>
      <c r="P342" s="2393">
        <v>0.79500000000000004</v>
      </c>
      <c r="Q342" s="557">
        <v>28</v>
      </c>
      <c r="V342" s="44"/>
      <c r="W342" s="44"/>
      <c r="X342" s="789"/>
    </row>
    <row r="343" spans="2:31" ht="12" customHeight="1">
      <c r="B343" s="1211" t="s">
        <v>627</v>
      </c>
      <c r="C343" s="556" t="s">
        <v>767</v>
      </c>
      <c r="D343" s="561">
        <v>15</v>
      </c>
      <c r="E343" s="1359">
        <v>0</v>
      </c>
      <c r="F343" s="1359" t="s">
        <v>974</v>
      </c>
      <c r="G343" s="1359">
        <v>0.15</v>
      </c>
      <c r="H343" s="1384">
        <v>84.75</v>
      </c>
      <c r="I343" s="1359">
        <v>51.15</v>
      </c>
      <c r="J343" s="1359">
        <v>78</v>
      </c>
      <c r="K343" s="1359">
        <v>0.69</v>
      </c>
      <c r="L343" s="1359">
        <v>1E-3</v>
      </c>
      <c r="M343" s="1359">
        <v>11.85</v>
      </c>
      <c r="N343" s="1359">
        <v>0</v>
      </c>
      <c r="O343" s="1359">
        <v>8.0000000000000002E-3</v>
      </c>
      <c r="P343" s="2412">
        <v>9.8000000000000004E-2</v>
      </c>
      <c r="Q343" s="557">
        <v>10</v>
      </c>
      <c r="V343" s="44"/>
      <c r="W343" s="44"/>
      <c r="X343" s="789"/>
    </row>
    <row r="344" spans="2:31">
      <c r="B344" s="2593" t="s">
        <v>639</v>
      </c>
      <c r="C344" s="556" t="s">
        <v>16</v>
      </c>
      <c r="D344" s="561">
        <v>200</v>
      </c>
      <c r="E344" s="2392">
        <v>0.04</v>
      </c>
      <c r="F344" s="380">
        <v>0</v>
      </c>
      <c r="G344" s="380">
        <v>0.01</v>
      </c>
      <c r="H344" s="1298">
        <v>0.3</v>
      </c>
      <c r="I344" s="1359">
        <v>4.5</v>
      </c>
      <c r="J344" s="1359">
        <v>7.2</v>
      </c>
      <c r="K344" s="1359">
        <v>3.8</v>
      </c>
      <c r="L344" s="1359">
        <v>0.73</v>
      </c>
      <c r="M344" s="1359">
        <v>20.77</v>
      </c>
      <c r="N344" s="1359">
        <v>0</v>
      </c>
      <c r="O344" s="1359">
        <v>0</v>
      </c>
      <c r="P344" s="2393">
        <v>0</v>
      </c>
      <c r="Q344" s="572">
        <v>90</v>
      </c>
      <c r="V344" s="44"/>
      <c r="W344" s="44"/>
      <c r="X344" s="789"/>
    </row>
    <row r="345" spans="2:31" ht="11.25" customHeight="1">
      <c r="B345" s="2593" t="s">
        <v>10</v>
      </c>
      <c r="C345" s="556" t="s">
        <v>11</v>
      </c>
      <c r="D345" s="561">
        <v>50</v>
      </c>
      <c r="E345" s="2392">
        <v>0.1</v>
      </c>
      <c r="F345" s="380">
        <v>0.02</v>
      </c>
      <c r="G345" s="380">
        <v>1.7000000000000001E-2</v>
      </c>
      <c r="H345" s="1298">
        <v>0</v>
      </c>
      <c r="I345" s="1294">
        <v>79.166700000000006</v>
      </c>
      <c r="J345" s="1294">
        <v>64.5</v>
      </c>
      <c r="K345" s="1294">
        <v>20.5</v>
      </c>
      <c r="L345" s="1294">
        <v>0.05</v>
      </c>
      <c r="M345" s="2520">
        <v>37.167000000000002</v>
      </c>
      <c r="N345" s="1294">
        <v>0</v>
      </c>
      <c r="O345" s="1294">
        <v>0</v>
      </c>
      <c r="P345" s="1294">
        <v>0</v>
      </c>
      <c r="Q345" s="557">
        <v>11</v>
      </c>
      <c r="V345" s="44"/>
      <c r="W345" s="44"/>
      <c r="X345" s="789"/>
    </row>
    <row r="346" spans="2:31">
      <c r="B346" s="2593" t="s">
        <v>10</v>
      </c>
      <c r="C346" s="595" t="s">
        <v>792</v>
      </c>
      <c r="D346" s="551">
        <v>30</v>
      </c>
      <c r="E346" s="2402">
        <v>0</v>
      </c>
      <c r="F346" s="381">
        <v>0.06</v>
      </c>
      <c r="G346" s="381">
        <v>0</v>
      </c>
      <c r="H346" s="1465">
        <v>0</v>
      </c>
      <c r="I346" s="1294">
        <v>24.9</v>
      </c>
      <c r="J346" s="1294">
        <v>58.2</v>
      </c>
      <c r="K346" s="381">
        <v>17.100000000000001</v>
      </c>
      <c r="L346" s="1294">
        <v>0.03</v>
      </c>
      <c r="M346" s="1294">
        <v>43.2</v>
      </c>
      <c r="N346" s="1294">
        <v>8.9999999999999998E-4</v>
      </c>
      <c r="O346" s="1294">
        <v>0</v>
      </c>
      <c r="P346" s="2417">
        <v>0</v>
      </c>
      <c r="Q346" s="557">
        <v>12</v>
      </c>
      <c r="V346" s="152"/>
      <c r="W346" s="44"/>
      <c r="X346" s="789"/>
    </row>
    <row r="347" spans="2:31" ht="15.75" thickBot="1">
      <c r="B347" s="266" t="s">
        <v>1004</v>
      </c>
      <c r="C347" s="563" t="s">
        <v>1003</v>
      </c>
      <c r="D347" s="574">
        <v>100</v>
      </c>
      <c r="E347" s="2421">
        <v>10</v>
      </c>
      <c r="F347" s="586">
        <v>0.02</v>
      </c>
      <c r="G347" s="586">
        <v>0.02</v>
      </c>
      <c r="H347" s="2403">
        <v>5</v>
      </c>
      <c r="I347" s="1370">
        <v>16</v>
      </c>
      <c r="J347" s="1370">
        <v>11</v>
      </c>
      <c r="K347" s="586">
        <v>9</v>
      </c>
      <c r="L347" s="1370">
        <v>1.9330000000000001</v>
      </c>
      <c r="M347" s="1370">
        <v>52.9</v>
      </c>
      <c r="N347" s="1370">
        <v>0.01</v>
      </c>
      <c r="O347" s="1370">
        <v>0</v>
      </c>
      <c r="P347" s="2404">
        <v>0.27</v>
      </c>
      <c r="Q347" s="627">
        <v>73</v>
      </c>
      <c r="V347" s="792"/>
      <c r="W347" s="793"/>
      <c r="X347" s="2310"/>
      <c r="Y347" s="210"/>
      <c r="Z347" s="22"/>
    </row>
    <row r="348" spans="2:31" ht="14.25" customHeight="1">
      <c r="B348" s="1404" t="s">
        <v>283</v>
      </c>
      <c r="C348" s="168"/>
      <c r="D348" s="2302">
        <f>SUM(D342:D347)</f>
        <v>595</v>
      </c>
      <c r="E348" s="566">
        <f t="shared" ref="E348:O348" si="60">SUM(E342:E347)</f>
        <v>11.24</v>
      </c>
      <c r="F348" s="1353">
        <f t="shared" si="60"/>
        <v>0.26889999999999997</v>
      </c>
      <c r="G348" s="1353">
        <f t="shared" si="60"/>
        <v>0.40700000000000003</v>
      </c>
      <c r="H348" s="1353">
        <f t="shared" si="60"/>
        <v>239.495</v>
      </c>
      <c r="I348" s="1353">
        <f t="shared" si="60"/>
        <v>266.53070000000002</v>
      </c>
      <c r="J348" s="1353">
        <f t="shared" si="60"/>
        <v>310.21499999999997</v>
      </c>
      <c r="K348" s="1353">
        <f t="shared" si="60"/>
        <v>57.21</v>
      </c>
      <c r="L348" s="1353">
        <f t="shared" si="60"/>
        <v>3.8440000000000003</v>
      </c>
      <c r="M348" s="1353">
        <f t="shared" si="60"/>
        <v>289.52999999999997</v>
      </c>
      <c r="N348" s="1353">
        <f>SUM(N342:N347)</f>
        <v>1.5900000000000001E-2</v>
      </c>
      <c r="O348" s="1353">
        <f t="shared" si="60"/>
        <v>1.073E-2</v>
      </c>
      <c r="P348" s="1405">
        <f>SUM(P342:P347)</f>
        <v>1.163</v>
      </c>
      <c r="Q348" s="1358"/>
      <c r="R348" s="4"/>
      <c r="V348" s="1289"/>
      <c r="W348" s="1289"/>
      <c r="X348" s="1289"/>
      <c r="Y348" s="1029"/>
      <c r="Z348" s="1"/>
      <c r="AA348" s="153"/>
      <c r="AB348" s="1555"/>
      <c r="AC348" s="153"/>
      <c r="AD348" s="153"/>
    </row>
    <row r="349" spans="2:31" ht="13.5" customHeight="1">
      <c r="B349" s="513"/>
      <c r="C349" s="794" t="s">
        <v>12</v>
      </c>
      <c r="D349" s="2291">
        <v>0.25</v>
      </c>
      <c r="E349" s="1398">
        <v>17.5</v>
      </c>
      <c r="F349" s="2413">
        <v>0.35</v>
      </c>
      <c r="G349" s="1399">
        <v>0.4</v>
      </c>
      <c r="H349" s="1345">
        <v>225</v>
      </c>
      <c r="I349" s="2413">
        <v>300</v>
      </c>
      <c r="J349" s="1399">
        <v>300</v>
      </c>
      <c r="K349" s="1345">
        <v>75</v>
      </c>
      <c r="L349" s="2413">
        <v>4.5</v>
      </c>
      <c r="M349" s="1346">
        <v>300</v>
      </c>
      <c r="N349" s="2413">
        <v>2.5000000000000001E-2</v>
      </c>
      <c r="O349" s="1399">
        <v>1.2500000000000001E-2</v>
      </c>
      <c r="P349" s="1460">
        <v>1</v>
      </c>
      <c r="Q349" s="1358"/>
      <c r="R349" s="4"/>
      <c r="V349" s="1"/>
      <c r="W349" s="1"/>
      <c r="X349" s="1"/>
      <c r="Y349" s="1"/>
      <c r="Z349" s="1"/>
    </row>
    <row r="350" spans="2:31" ht="12.75" customHeight="1" thickBot="1">
      <c r="B350" s="237"/>
      <c r="C350" s="1347" t="s">
        <v>941</v>
      </c>
      <c r="D350" s="1356" t="s">
        <v>280</v>
      </c>
      <c r="E350" s="1416">
        <f>(E348*100/E371)-25</f>
        <v>-8.9428571428571431</v>
      </c>
      <c r="F350" s="1370">
        <f t="shared" ref="F350:P350" si="61">(F348*100/F371)-25</f>
        <v>-5.7928571428571445</v>
      </c>
      <c r="G350" s="1370">
        <f t="shared" si="61"/>
        <v>0.4375</v>
      </c>
      <c r="H350" s="1370">
        <f>(H348*100/H371)-25</f>
        <v>1.6105555555555569</v>
      </c>
      <c r="I350" s="1370">
        <f t="shared" si="61"/>
        <v>-2.7891083333333313</v>
      </c>
      <c r="J350" s="1370">
        <f t="shared" si="61"/>
        <v>0.85124999999999673</v>
      </c>
      <c r="K350" s="1370">
        <f t="shared" si="61"/>
        <v>-5.93</v>
      </c>
      <c r="L350" s="1370">
        <f t="shared" si="61"/>
        <v>-3.6444444444444422</v>
      </c>
      <c r="M350" s="1370">
        <f t="shared" si="61"/>
        <v>-0.87250000000000227</v>
      </c>
      <c r="N350" s="1370">
        <f t="shared" si="61"/>
        <v>-9.1</v>
      </c>
      <c r="O350" s="1370">
        <f t="shared" si="61"/>
        <v>-3.5400000000000027</v>
      </c>
      <c r="P350" s="1371">
        <f t="shared" si="61"/>
        <v>4.0749999999999993</v>
      </c>
      <c r="Q350" s="1358"/>
      <c r="R350" s="4"/>
      <c r="V350" s="44"/>
      <c r="W350" s="44"/>
      <c r="X350" s="789"/>
    </row>
    <row r="351" spans="2:31">
      <c r="B351" s="99"/>
      <c r="C351" s="163" t="s">
        <v>152</v>
      </c>
      <c r="D351" s="99"/>
      <c r="E351" s="1534"/>
      <c r="F351" s="2451"/>
      <c r="G351" s="2451"/>
      <c r="H351" s="2397"/>
      <c r="I351" s="2397"/>
      <c r="J351" s="2397"/>
      <c r="K351" s="2397"/>
      <c r="L351" s="2397"/>
      <c r="M351" s="2397"/>
      <c r="N351" s="2397"/>
      <c r="O351" s="2397"/>
      <c r="P351" s="2434"/>
      <c r="Q351" s="1358"/>
      <c r="R351" s="4"/>
      <c r="V351" s="44"/>
      <c r="W351" s="44"/>
      <c r="X351" s="789"/>
    </row>
    <row r="352" spans="2:31">
      <c r="B352" s="1350" t="s">
        <v>770</v>
      </c>
      <c r="C352" s="560" t="s">
        <v>658</v>
      </c>
      <c r="D352" s="561">
        <v>60</v>
      </c>
      <c r="E352" s="2392">
        <v>3</v>
      </c>
      <c r="F352" s="380">
        <v>0</v>
      </c>
      <c r="G352" s="380">
        <v>0</v>
      </c>
      <c r="H352" s="1298">
        <v>12</v>
      </c>
      <c r="I352" s="1359">
        <v>16</v>
      </c>
      <c r="J352" s="1359">
        <v>33</v>
      </c>
      <c r="K352" s="1359">
        <v>23</v>
      </c>
      <c r="L352" s="1359">
        <v>0.4</v>
      </c>
      <c r="M352" s="1359">
        <v>12</v>
      </c>
      <c r="N352" s="1359">
        <v>3.0000000000000001E-3</v>
      </c>
      <c r="O352" s="2401">
        <v>1E-4</v>
      </c>
      <c r="P352" s="2393">
        <v>3.3000000000000002E-2</v>
      </c>
      <c r="Q352" s="557">
        <v>7</v>
      </c>
      <c r="R352" s="218"/>
      <c r="V352" s="44"/>
      <c r="W352" s="44"/>
      <c r="X352" s="789"/>
    </row>
    <row r="353" spans="2:31">
      <c r="B353" s="1530" t="s">
        <v>837</v>
      </c>
      <c r="C353" s="1417" t="s">
        <v>768</v>
      </c>
      <c r="D353" s="583">
        <v>250</v>
      </c>
      <c r="E353" s="2392">
        <v>2.6949999999999998</v>
      </c>
      <c r="F353" s="380">
        <v>3.0000000000000001E-3</v>
      </c>
      <c r="G353" s="380">
        <v>7.6399999999999996E-2</v>
      </c>
      <c r="H353" s="1298">
        <v>0</v>
      </c>
      <c r="I353" s="2401">
        <v>100.39700000000001</v>
      </c>
      <c r="J353" s="1359">
        <v>67.09</v>
      </c>
      <c r="K353" s="380">
        <v>9.2899999999999991</v>
      </c>
      <c r="L353" s="1359">
        <v>0.38900000000000001</v>
      </c>
      <c r="M353" s="1359">
        <v>58.58</v>
      </c>
      <c r="N353" s="1359">
        <v>7.0000000000000001E-3</v>
      </c>
      <c r="O353" s="1359">
        <v>2E-3</v>
      </c>
      <c r="P353" s="2393">
        <v>0.221</v>
      </c>
      <c r="Q353" s="557">
        <v>24</v>
      </c>
      <c r="R353" s="4"/>
      <c r="V353" s="44"/>
      <c r="W353" s="222"/>
      <c r="X353" s="805"/>
    </row>
    <row r="354" spans="2:31" ht="12.75" customHeight="1">
      <c r="B354" s="1530" t="s">
        <v>606</v>
      </c>
      <c r="C354" s="1088" t="s">
        <v>769</v>
      </c>
      <c r="D354" s="583" t="s">
        <v>608</v>
      </c>
      <c r="E354" s="1359">
        <v>1.77</v>
      </c>
      <c r="F354" s="1359">
        <v>0.23080000000000001</v>
      </c>
      <c r="G354" s="1359">
        <v>0.5</v>
      </c>
      <c r="H354" s="1298">
        <v>41.57</v>
      </c>
      <c r="I354" s="384">
        <v>79.349999999999994</v>
      </c>
      <c r="J354" s="1359">
        <v>100.286</v>
      </c>
      <c r="K354" s="1359">
        <v>11.73</v>
      </c>
      <c r="L354" s="1359">
        <v>4.1500000000000004</v>
      </c>
      <c r="M354" s="1359">
        <v>9.1150000000000002</v>
      </c>
      <c r="N354" s="1359">
        <v>1.9939999999999999E-2</v>
      </c>
      <c r="O354" s="1359">
        <v>7.0569999999999999E-3</v>
      </c>
      <c r="P354" s="1359">
        <v>0.90800000000000003</v>
      </c>
      <c r="Q354" s="557">
        <v>64</v>
      </c>
      <c r="R354" s="4"/>
      <c r="V354" s="153"/>
      <c r="W354" s="153"/>
      <c r="X354" s="789"/>
      <c r="AE354" s="696"/>
    </row>
    <row r="355" spans="2:31" ht="12.75" customHeight="1">
      <c r="B355" s="1351" t="s">
        <v>844</v>
      </c>
      <c r="C355" s="1556" t="s">
        <v>610</v>
      </c>
      <c r="D355" s="551" t="s">
        <v>732</v>
      </c>
      <c r="E355" s="2414">
        <v>0.2</v>
      </c>
      <c r="F355" s="381">
        <v>0.08</v>
      </c>
      <c r="G355" s="2415">
        <v>0.04</v>
      </c>
      <c r="H355" s="1388">
        <v>20.170000000000002</v>
      </c>
      <c r="I355" s="384">
        <v>39.22</v>
      </c>
      <c r="J355" s="1359">
        <v>44.82</v>
      </c>
      <c r="K355" s="1359">
        <v>9.1669999999999998</v>
      </c>
      <c r="L355" s="1359">
        <v>0.46</v>
      </c>
      <c r="M355" s="1359">
        <v>12.38</v>
      </c>
      <c r="N355" s="1359">
        <v>0</v>
      </c>
      <c r="O355" s="1359">
        <v>5.0000000000000001E-3</v>
      </c>
      <c r="P355" s="2393">
        <v>0.26900000000000002</v>
      </c>
      <c r="Q355" s="589">
        <v>44</v>
      </c>
      <c r="R355" s="4"/>
      <c r="V355" s="44"/>
      <c r="W355" s="44"/>
      <c r="X355" s="789"/>
    </row>
    <row r="356" spans="2:31">
      <c r="B356" s="2589"/>
      <c r="C356" s="1537" t="s">
        <v>611</v>
      </c>
      <c r="D356" s="590"/>
      <c r="E356" s="2392">
        <v>12.6</v>
      </c>
      <c r="F356" s="380">
        <v>1.2999999999999999E-2</v>
      </c>
      <c r="G356" s="380">
        <v>0.02</v>
      </c>
      <c r="H356" s="1384">
        <v>1.26</v>
      </c>
      <c r="I356" s="1359">
        <v>26.3</v>
      </c>
      <c r="J356" s="1359">
        <v>16.600000000000001</v>
      </c>
      <c r="K356" s="1359">
        <v>8.59</v>
      </c>
      <c r="L356" s="1359">
        <v>0.36799999999999999</v>
      </c>
      <c r="M356" s="1359">
        <v>94.19</v>
      </c>
      <c r="N356" s="1359">
        <v>1.1000000000000001E-3</v>
      </c>
      <c r="O356" s="2401">
        <v>1.83E-4</v>
      </c>
      <c r="P356" s="2393">
        <v>7.0000000000000001E-3</v>
      </c>
      <c r="Q356" s="593"/>
      <c r="R356" s="4"/>
      <c r="V356" s="44"/>
      <c r="W356" s="44"/>
      <c r="X356" s="789"/>
    </row>
    <row r="357" spans="2:31" ht="15" customHeight="1">
      <c r="B357" s="1272" t="s">
        <v>9</v>
      </c>
      <c r="C357" s="560" t="s">
        <v>151</v>
      </c>
      <c r="D357" s="561">
        <v>200</v>
      </c>
      <c r="E357" s="2392">
        <v>4</v>
      </c>
      <c r="F357" s="380">
        <v>0.02</v>
      </c>
      <c r="G357" s="380">
        <v>0.02</v>
      </c>
      <c r="H357" s="1384">
        <v>0</v>
      </c>
      <c r="I357" s="1359">
        <v>14</v>
      </c>
      <c r="J357" s="1359">
        <v>14</v>
      </c>
      <c r="K357" s="380">
        <v>8</v>
      </c>
      <c r="L357" s="1359">
        <v>1.1679999999999999</v>
      </c>
      <c r="M357" s="1359">
        <v>99.6</v>
      </c>
      <c r="N357" s="1359">
        <v>2E-3</v>
      </c>
      <c r="O357" s="1359">
        <v>0</v>
      </c>
      <c r="P357" s="2393">
        <v>0</v>
      </c>
      <c r="Q357" s="581">
        <v>76</v>
      </c>
      <c r="V357" s="44"/>
      <c r="W357" s="44"/>
      <c r="X357" s="789"/>
    </row>
    <row r="358" spans="2:31" ht="12" customHeight="1">
      <c r="B358" s="1272" t="s">
        <v>10</v>
      </c>
      <c r="C358" s="1418" t="s">
        <v>11</v>
      </c>
      <c r="D358" s="561">
        <v>70</v>
      </c>
      <c r="E358" s="2392">
        <v>0.14000000000000001</v>
      </c>
      <c r="F358" s="380">
        <v>2.5000000000000001E-2</v>
      </c>
      <c r="G358" s="380">
        <v>2.3E-2</v>
      </c>
      <c r="H358" s="1298">
        <v>0</v>
      </c>
      <c r="I358" s="2498">
        <v>110.01300000000001</v>
      </c>
      <c r="J358" s="1359">
        <v>90.3</v>
      </c>
      <c r="K358" s="1359">
        <v>28.7</v>
      </c>
      <c r="L358" s="2393">
        <v>7.0000000000000007E-2</v>
      </c>
      <c r="M358" s="2469">
        <v>52.03</v>
      </c>
      <c r="N358" s="1359">
        <v>0</v>
      </c>
      <c r="O358" s="1359">
        <v>0</v>
      </c>
      <c r="P358" s="1359">
        <v>0</v>
      </c>
      <c r="Q358" s="557">
        <v>11</v>
      </c>
      <c r="V358" s="792"/>
      <c r="W358" s="793"/>
      <c r="X358" s="2310"/>
      <c r="Y358" s="210"/>
      <c r="Z358" s="22"/>
    </row>
    <row r="359" spans="2:31" ht="13.5" customHeight="1" thickBot="1">
      <c r="B359" s="1352" t="s">
        <v>10</v>
      </c>
      <c r="C359" s="573" t="s">
        <v>792</v>
      </c>
      <c r="D359" s="574">
        <v>44</v>
      </c>
      <c r="E359" s="2402">
        <v>0</v>
      </c>
      <c r="F359" s="381">
        <v>8.7999999999999995E-2</v>
      </c>
      <c r="G359" s="381">
        <v>0</v>
      </c>
      <c r="H359" s="1298">
        <v>0</v>
      </c>
      <c r="I359" s="379">
        <v>36.520000000000003</v>
      </c>
      <c r="J359" s="242">
        <v>85.36</v>
      </c>
      <c r="K359" s="242">
        <v>20.04</v>
      </c>
      <c r="L359" s="1338">
        <v>4.3999999999999997E-2</v>
      </c>
      <c r="M359" s="242">
        <v>63.36</v>
      </c>
      <c r="N359" s="242">
        <v>1.1000000000000001E-3</v>
      </c>
      <c r="O359" s="1359">
        <v>0</v>
      </c>
      <c r="P359" s="2412">
        <v>0</v>
      </c>
      <c r="Q359" s="748">
        <v>12</v>
      </c>
      <c r="V359" s="1289"/>
      <c r="W359" s="1289"/>
      <c r="X359" s="1289"/>
      <c r="Y359" s="1029"/>
      <c r="Z359" s="1"/>
    </row>
    <row r="360" spans="2:31" ht="14.25" customHeight="1">
      <c r="B360" s="565" t="s">
        <v>269</v>
      </c>
      <c r="C360" s="2299"/>
      <c r="D360" s="2302">
        <f>D352+D353+D357+D358+D359+55+55+110+70</f>
        <v>914</v>
      </c>
      <c r="E360" s="575">
        <f t="shared" ref="E360:P360" si="62">SUM(E352:E359)</f>
        <v>24.405000000000001</v>
      </c>
      <c r="F360" s="1353">
        <f t="shared" si="62"/>
        <v>0.4598000000000001</v>
      </c>
      <c r="G360" s="1353">
        <f t="shared" si="62"/>
        <v>0.67940000000000011</v>
      </c>
      <c r="H360" s="1353">
        <f>SUM(H352:H359)</f>
        <v>75.000000000000014</v>
      </c>
      <c r="I360" s="1353">
        <f t="shared" si="62"/>
        <v>421.79999999999995</v>
      </c>
      <c r="J360" s="1353">
        <f t="shared" si="62"/>
        <v>451.45600000000002</v>
      </c>
      <c r="K360" s="1353">
        <f t="shared" si="62"/>
        <v>118.517</v>
      </c>
      <c r="L360" s="1353">
        <f t="shared" si="62"/>
        <v>7.0490000000000004</v>
      </c>
      <c r="M360" s="1353">
        <f t="shared" si="62"/>
        <v>401.255</v>
      </c>
      <c r="N360" s="1353">
        <f>SUM(N352:N359)</f>
        <v>3.4139999999999997E-2</v>
      </c>
      <c r="O360" s="1353">
        <f t="shared" si="62"/>
        <v>1.4339999999999999E-2</v>
      </c>
      <c r="P360" s="1405">
        <f t="shared" si="62"/>
        <v>1.4379999999999999</v>
      </c>
      <c r="Q360" s="1358"/>
      <c r="V360" s="1"/>
      <c r="W360" s="1"/>
      <c r="X360" s="1"/>
      <c r="Y360" s="1"/>
      <c r="Z360" s="1"/>
    </row>
    <row r="361" spans="2:31" ht="12" customHeight="1">
      <c r="B361" s="1343"/>
      <c r="C361" s="2298" t="s">
        <v>12</v>
      </c>
      <c r="D361" s="2291">
        <v>0.35</v>
      </c>
      <c r="E361" s="1355">
        <v>24.5</v>
      </c>
      <c r="F361" s="1365">
        <v>0.49</v>
      </c>
      <c r="G361" s="1364">
        <v>0.56000000000000005</v>
      </c>
      <c r="H361" s="1363">
        <v>315</v>
      </c>
      <c r="I361" s="1365">
        <v>420</v>
      </c>
      <c r="J361" s="1364">
        <v>420</v>
      </c>
      <c r="K361" s="1363">
        <v>105</v>
      </c>
      <c r="L361" s="1365">
        <v>6.3</v>
      </c>
      <c r="M361" s="1369">
        <v>420</v>
      </c>
      <c r="N361" s="1365">
        <v>3.5000000000000003E-2</v>
      </c>
      <c r="O361" s="1364">
        <v>1.7500000000000002E-2</v>
      </c>
      <c r="P361" s="1366">
        <v>1.4</v>
      </c>
      <c r="Q361" s="1358"/>
      <c r="V361" s="44"/>
      <c r="W361" s="44"/>
      <c r="X361" s="789"/>
    </row>
    <row r="362" spans="2:31" ht="15.75" thickBot="1">
      <c r="B362" s="237"/>
      <c r="C362" s="1347" t="s">
        <v>941</v>
      </c>
      <c r="D362" s="1356" t="s">
        <v>280</v>
      </c>
      <c r="E362" s="1416">
        <f>(E360*100/E371)-35</f>
        <v>-0.13571428571428612</v>
      </c>
      <c r="F362" s="1370">
        <f>(F360*100/F371)-35</f>
        <v>-2.1571428571428442</v>
      </c>
      <c r="G362" s="1370">
        <f t="shared" ref="G362:P362" si="63">(G360*100/G371)-35</f>
        <v>7.4625000000000057</v>
      </c>
      <c r="H362" s="1370">
        <f t="shared" si="63"/>
        <v>-26.666666666666664</v>
      </c>
      <c r="I362" s="1370">
        <f t="shared" si="63"/>
        <v>0.14999999999999147</v>
      </c>
      <c r="J362" s="1370">
        <f t="shared" si="63"/>
        <v>2.6213333333333324</v>
      </c>
      <c r="K362" s="1370">
        <f t="shared" si="63"/>
        <v>4.5056666666666629</v>
      </c>
      <c r="L362" s="1370">
        <f t="shared" si="63"/>
        <v>4.1611111111111185</v>
      </c>
      <c r="M362" s="1370">
        <f t="shared" si="63"/>
        <v>-1.5620833333333337</v>
      </c>
      <c r="N362" s="1370">
        <f t="shared" si="63"/>
        <v>-0.86000000000000654</v>
      </c>
      <c r="O362" s="1370">
        <f t="shared" si="63"/>
        <v>-6.3200000000000038</v>
      </c>
      <c r="P362" s="1371">
        <f t="shared" si="63"/>
        <v>0.94999999999999574</v>
      </c>
      <c r="Q362" s="1358"/>
      <c r="V362" s="44"/>
      <c r="W362" s="222"/>
      <c r="X362" s="789"/>
    </row>
    <row r="363" spans="2:31" ht="11.25" customHeight="1">
      <c r="B363" s="99"/>
      <c r="C363" s="162" t="s">
        <v>324</v>
      </c>
      <c r="D363" s="99"/>
      <c r="E363" s="2446"/>
      <c r="F363" s="2447"/>
      <c r="G363" s="2447"/>
      <c r="H363" s="2448"/>
      <c r="I363" s="2448"/>
      <c r="J363" s="2448"/>
      <c r="K363" s="2452"/>
      <c r="L363" s="2448"/>
      <c r="M363" s="2448"/>
      <c r="N363" s="2448"/>
      <c r="O363" s="2448"/>
      <c r="P363" s="2449"/>
      <c r="Q363" s="1358"/>
      <c r="V363" s="44"/>
      <c r="W363" s="44"/>
      <c r="X363" s="789"/>
    </row>
    <row r="364" spans="2:31">
      <c r="B364" s="549" t="s">
        <v>682</v>
      </c>
      <c r="C364" s="249" t="s">
        <v>680</v>
      </c>
      <c r="D364" s="561">
        <v>200</v>
      </c>
      <c r="E364" s="2392">
        <v>3.7</v>
      </c>
      <c r="F364" s="380">
        <v>8.0999999999999996E-3</v>
      </c>
      <c r="G364" s="380">
        <v>7.4000000000000003E-3</v>
      </c>
      <c r="H364" s="1384">
        <v>1.85</v>
      </c>
      <c r="I364" s="1359">
        <v>5.9260000000000002</v>
      </c>
      <c r="J364" s="1359">
        <v>4.07</v>
      </c>
      <c r="K364" s="1359">
        <v>3.33</v>
      </c>
      <c r="L364" s="1359">
        <v>0.73199999999999998</v>
      </c>
      <c r="M364" s="1359">
        <v>0.17</v>
      </c>
      <c r="N364" s="1359">
        <v>3.7000000000000002E-3</v>
      </c>
      <c r="O364" s="1359">
        <v>0</v>
      </c>
      <c r="P364" s="2393">
        <v>0.1</v>
      </c>
      <c r="Q364" s="572">
        <v>81</v>
      </c>
      <c r="V364" s="792"/>
      <c r="W364" s="793"/>
      <c r="X364" s="2310"/>
      <c r="Y364" s="210"/>
      <c r="Z364" s="22"/>
    </row>
    <row r="365" spans="2:31">
      <c r="B365" s="2290" t="s">
        <v>953</v>
      </c>
      <c r="C365" s="249" t="s">
        <v>678</v>
      </c>
      <c r="D365" s="551" t="s">
        <v>847</v>
      </c>
      <c r="E365" s="2414">
        <v>2.2509999999999999</v>
      </c>
      <c r="F365" s="381">
        <v>9.7900000000000001E-2</v>
      </c>
      <c r="G365" s="2415">
        <v>0.12709999999999999</v>
      </c>
      <c r="H365" s="1465">
        <v>84.12</v>
      </c>
      <c r="I365" s="1294">
        <v>24.624199999999998</v>
      </c>
      <c r="J365" s="1294">
        <v>29.908000000000001</v>
      </c>
      <c r="K365" s="381">
        <v>2.99</v>
      </c>
      <c r="L365" s="1294">
        <v>0.68899999999999995</v>
      </c>
      <c r="M365" s="1294">
        <v>53.058</v>
      </c>
      <c r="N365" s="1294">
        <v>6.3E-3</v>
      </c>
      <c r="O365" s="2453">
        <v>2.0000000000000001E-4</v>
      </c>
      <c r="P365" s="2417">
        <v>0.27</v>
      </c>
      <c r="Q365" s="589">
        <v>62</v>
      </c>
    </row>
    <row r="366" spans="2:31" ht="14.25" customHeight="1" thickBot="1">
      <c r="B366" s="564" t="s">
        <v>10</v>
      </c>
      <c r="C366" s="573" t="s">
        <v>11</v>
      </c>
      <c r="D366" s="574">
        <v>50</v>
      </c>
      <c r="E366" s="2392">
        <v>0.1</v>
      </c>
      <c r="F366" s="380">
        <v>0.02</v>
      </c>
      <c r="G366" s="380">
        <v>1.7000000000000001E-2</v>
      </c>
      <c r="H366" s="1298">
        <v>0</v>
      </c>
      <c r="I366" s="1359">
        <v>49.17</v>
      </c>
      <c r="J366" s="1359">
        <v>64.5</v>
      </c>
      <c r="K366" s="380">
        <v>20.5</v>
      </c>
      <c r="L366" s="1359">
        <v>0.05</v>
      </c>
      <c r="M366" s="1359">
        <v>37.165999999999997</v>
      </c>
      <c r="N366" s="1359">
        <v>0</v>
      </c>
      <c r="O366" s="1359">
        <v>1E-3</v>
      </c>
      <c r="P366" s="2393">
        <v>0</v>
      </c>
      <c r="Q366" s="1281">
        <v>11</v>
      </c>
    </row>
    <row r="367" spans="2:31" ht="12.75" customHeight="1">
      <c r="B367" s="565" t="s">
        <v>357</v>
      </c>
      <c r="C367" s="2301"/>
      <c r="D367" s="2302">
        <f>D364+D366+70+30</f>
        <v>350</v>
      </c>
      <c r="E367" s="575">
        <f t="shared" ref="E367:P367" si="64">SUM(E364:E366)</f>
        <v>6.0510000000000002</v>
      </c>
      <c r="F367" s="1353">
        <f t="shared" si="64"/>
        <v>0.126</v>
      </c>
      <c r="G367" s="1353">
        <f t="shared" si="64"/>
        <v>0.15149999999999997</v>
      </c>
      <c r="H367" s="1353">
        <f t="shared" si="64"/>
        <v>85.97</v>
      </c>
      <c r="I367" s="1353">
        <f>SUM(I364:I366)</f>
        <v>79.720200000000006</v>
      </c>
      <c r="J367" s="1353">
        <f t="shared" si="64"/>
        <v>98.478000000000009</v>
      </c>
      <c r="K367" s="1353">
        <f t="shared" si="64"/>
        <v>26.82</v>
      </c>
      <c r="L367" s="1353">
        <f t="shared" si="64"/>
        <v>1.4709999999999999</v>
      </c>
      <c r="M367" s="1353">
        <f t="shared" si="64"/>
        <v>90.394000000000005</v>
      </c>
      <c r="N367" s="1353">
        <f t="shared" si="64"/>
        <v>0.01</v>
      </c>
      <c r="O367" s="1353">
        <f t="shared" si="64"/>
        <v>1.2000000000000001E-3</v>
      </c>
      <c r="P367" s="1405">
        <f t="shared" si="64"/>
        <v>0.37</v>
      </c>
      <c r="Q367" s="360"/>
    </row>
    <row r="368" spans="2:31" ht="12" customHeight="1" thickBot="1">
      <c r="B368" s="1343"/>
      <c r="C368" s="1344" t="s">
        <v>12</v>
      </c>
      <c r="D368" s="2261">
        <v>0.1</v>
      </c>
      <c r="E368" s="1422">
        <v>7</v>
      </c>
      <c r="F368" s="1423">
        <v>0.14000000000000001</v>
      </c>
      <c r="G368" s="1424">
        <v>0.16</v>
      </c>
      <c r="H368" s="1461">
        <v>90</v>
      </c>
      <c r="I368" s="1423">
        <v>120</v>
      </c>
      <c r="J368" s="1424">
        <v>120</v>
      </c>
      <c r="K368" s="1461">
        <v>30</v>
      </c>
      <c r="L368" s="1423">
        <v>1.8</v>
      </c>
      <c r="M368" s="2445">
        <v>120</v>
      </c>
      <c r="N368" s="1423">
        <v>0.01</v>
      </c>
      <c r="O368" s="1424">
        <v>5.0000000000000001E-3</v>
      </c>
      <c r="P368" s="1425">
        <v>0.4</v>
      </c>
      <c r="Q368" s="360"/>
    </row>
    <row r="369" spans="2:31" ht="12.75" customHeight="1" thickBot="1">
      <c r="B369" s="237"/>
      <c r="C369" s="1347" t="s">
        <v>941</v>
      </c>
      <c r="D369" s="1348" t="s">
        <v>280</v>
      </c>
      <c r="E369" s="1416">
        <f>(E367*100/E371)-10</f>
        <v>-1.355714285714285</v>
      </c>
      <c r="F369" s="1370">
        <f t="shared" ref="F369:O369" si="65">(F367*100/F371)-10</f>
        <v>-1</v>
      </c>
      <c r="G369" s="1370">
        <f t="shared" si="65"/>
        <v>-0.53125000000000178</v>
      </c>
      <c r="H369" s="1370">
        <f t="shared" si="65"/>
        <v>-0.4477777777777785</v>
      </c>
      <c r="I369" s="1370">
        <f t="shared" si="65"/>
        <v>-3.3566499999999992</v>
      </c>
      <c r="J369" s="1370">
        <f t="shared" si="65"/>
        <v>-1.7934999999999999</v>
      </c>
      <c r="K369" s="1370">
        <f t="shared" si="65"/>
        <v>-1.0600000000000005</v>
      </c>
      <c r="L369" s="1370">
        <f t="shared" si="65"/>
        <v>-1.8277777777777775</v>
      </c>
      <c r="M369" s="1370">
        <f t="shared" si="65"/>
        <v>-2.4671666666666656</v>
      </c>
      <c r="N369" s="1370">
        <f t="shared" si="65"/>
        <v>0</v>
      </c>
      <c r="O369" s="1370">
        <f t="shared" si="65"/>
        <v>-7.6</v>
      </c>
      <c r="P369" s="1371">
        <f>(P367*100/P371)-10</f>
        <v>-0.75</v>
      </c>
    </row>
    <row r="370" spans="2:31" ht="12.75" customHeight="1" thickBot="1"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4"/>
      <c r="Q370" s="204"/>
    </row>
    <row r="371" spans="2:31" ht="15" customHeight="1" thickBot="1">
      <c r="B371" s="2369" t="s">
        <v>959</v>
      </c>
      <c r="C371" s="2262"/>
      <c r="D371" s="2368">
        <v>1</v>
      </c>
      <c r="E371" s="2407">
        <v>70</v>
      </c>
      <c r="F371" s="2408">
        <v>1.4</v>
      </c>
      <c r="G371" s="2408">
        <v>1.6</v>
      </c>
      <c r="H371" s="2264">
        <v>900</v>
      </c>
      <c r="I371" s="2405">
        <v>1200</v>
      </c>
      <c r="J371" s="2406">
        <v>1200</v>
      </c>
      <c r="K371" s="2406">
        <v>300</v>
      </c>
      <c r="L371" s="2409">
        <v>18</v>
      </c>
      <c r="M371" s="2405">
        <v>1200</v>
      </c>
      <c r="N371" s="2409">
        <v>0.1</v>
      </c>
      <c r="O371" s="2409">
        <v>0.05</v>
      </c>
      <c r="P371" s="2410">
        <v>4</v>
      </c>
      <c r="Q371" s="360"/>
    </row>
    <row r="372" spans="2:31" ht="11.25" customHeight="1" thickBot="1"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360"/>
      <c r="AA372" s="1"/>
      <c r="AB372" s="1"/>
      <c r="AC372" s="1"/>
      <c r="AD372" s="1"/>
    </row>
    <row r="373" spans="2:31" ht="12.75" customHeight="1">
      <c r="B373" s="1021"/>
      <c r="C373" s="34" t="s">
        <v>481</v>
      </c>
      <c r="D373" s="35"/>
      <c r="E373" s="145">
        <f>E348+E360</f>
        <v>35.645000000000003</v>
      </c>
      <c r="F373" s="243">
        <f t="shared" ref="F373:P373" si="66">F348+F360</f>
        <v>0.72870000000000013</v>
      </c>
      <c r="G373" s="243">
        <f t="shared" si="66"/>
        <v>1.0864000000000003</v>
      </c>
      <c r="H373" s="243">
        <f t="shared" si="66"/>
        <v>314.495</v>
      </c>
      <c r="I373" s="243">
        <f t="shared" si="66"/>
        <v>688.33069999999998</v>
      </c>
      <c r="J373" s="243">
        <f t="shared" si="66"/>
        <v>761.67100000000005</v>
      </c>
      <c r="K373" s="243">
        <f t="shared" si="66"/>
        <v>175.727</v>
      </c>
      <c r="L373" s="243">
        <f t="shared" si="66"/>
        <v>10.893000000000001</v>
      </c>
      <c r="M373" s="243">
        <f t="shared" si="66"/>
        <v>690.78499999999997</v>
      </c>
      <c r="N373" s="243">
        <f t="shared" si="66"/>
        <v>5.0040000000000001E-2</v>
      </c>
      <c r="O373" s="243">
        <f t="shared" si="66"/>
        <v>2.5069999999999999E-2</v>
      </c>
      <c r="P373" s="1024">
        <f t="shared" si="66"/>
        <v>2.601</v>
      </c>
      <c r="Q373" s="360"/>
      <c r="Z373" s="740"/>
      <c r="AA373" s="1"/>
      <c r="AB373" s="1"/>
      <c r="AC373" s="1"/>
      <c r="AD373" s="1"/>
    </row>
    <row r="374" spans="2:31">
      <c r="B374" s="513"/>
      <c r="C374" s="1368" t="s">
        <v>12</v>
      </c>
      <c r="D374" s="2261">
        <v>0.6</v>
      </c>
      <c r="E374" s="1355">
        <v>42</v>
      </c>
      <c r="F374" s="1365">
        <v>0.84</v>
      </c>
      <c r="G374" s="1364">
        <v>0.96</v>
      </c>
      <c r="H374" s="1363">
        <v>540</v>
      </c>
      <c r="I374" s="1365">
        <v>720</v>
      </c>
      <c r="J374" s="1364">
        <v>720</v>
      </c>
      <c r="K374" s="1363">
        <v>180</v>
      </c>
      <c r="L374" s="1365">
        <v>10.8</v>
      </c>
      <c r="M374" s="1369">
        <v>720</v>
      </c>
      <c r="N374" s="1365">
        <v>0.06</v>
      </c>
      <c r="O374" s="1364">
        <v>0.03</v>
      </c>
      <c r="P374" s="1366">
        <v>2.4</v>
      </c>
      <c r="Q374" s="360"/>
      <c r="AA374" s="1"/>
      <c r="AB374" s="1"/>
      <c r="AC374" s="1"/>
      <c r="AD374" s="1"/>
    </row>
    <row r="375" spans="2:31" ht="13.5" customHeight="1" thickBot="1">
      <c r="B375" s="237"/>
      <c r="C375" s="1347" t="s">
        <v>941</v>
      </c>
      <c r="D375" s="1348" t="s">
        <v>280</v>
      </c>
      <c r="E375" s="1416">
        <f>(E373*100/E371)-60</f>
        <v>-9.0785714285714221</v>
      </c>
      <c r="F375" s="1370">
        <f t="shared" ref="F375:O375" si="67">(F373*100/F371)-60</f>
        <v>-7.9499999999999815</v>
      </c>
      <c r="G375" s="1370">
        <f t="shared" si="67"/>
        <v>7.9000000000000199</v>
      </c>
      <c r="H375" s="1370">
        <f t="shared" si="67"/>
        <v>-25.056111111111115</v>
      </c>
      <c r="I375" s="1370">
        <f t="shared" si="67"/>
        <v>-2.6391083333333398</v>
      </c>
      <c r="J375" s="1370">
        <f t="shared" si="67"/>
        <v>3.4725833333333398</v>
      </c>
      <c r="K375" s="1370">
        <f t="shared" si="67"/>
        <v>-1.4243333333333297</v>
      </c>
      <c r="L375" s="1370">
        <f t="shared" si="67"/>
        <v>0.51666666666667993</v>
      </c>
      <c r="M375" s="1370">
        <f t="shared" si="67"/>
        <v>-2.434583333333336</v>
      </c>
      <c r="N375" s="1370">
        <f t="shared" si="67"/>
        <v>-9.9600000000000009</v>
      </c>
      <c r="O375" s="1370">
        <f t="shared" si="67"/>
        <v>-9.8600000000000065</v>
      </c>
      <c r="P375" s="1371">
        <f>(P373*100/P371)-60</f>
        <v>5.0250000000000057</v>
      </c>
      <c r="Q375" s="360"/>
      <c r="AA375" s="44"/>
      <c r="AB375" s="44"/>
      <c r="AC375" s="44"/>
      <c r="AD375" s="44"/>
      <c r="AE375" s="153"/>
    </row>
    <row r="376" spans="2:31" ht="12" customHeight="1" thickBot="1"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360"/>
      <c r="AA376" s="44"/>
      <c r="AB376" s="44"/>
      <c r="AC376" s="44"/>
      <c r="AD376" s="44"/>
      <c r="AE376" s="153"/>
    </row>
    <row r="377" spans="2:31" ht="13.5" customHeight="1">
      <c r="B377" s="1021"/>
      <c r="C377" s="34" t="s">
        <v>480</v>
      </c>
      <c r="D377" s="35"/>
      <c r="E377" s="145">
        <f>E360+E367</f>
        <v>30.456000000000003</v>
      </c>
      <c r="F377" s="243">
        <f t="shared" ref="F377:P377" si="68">F360+F367</f>
        <v>0.5858000000000001</v>
      </c>
      <c r="G377" s="243">
        <f t="shared" si="68"/>
        <v>0.83090000000000008</v>
      </c>
      <c r="H377" s="243">
        <f t="shared" si="68"/>
        <v>160.97000000000003</v>
      </c>
      <c r="I377" s="243">
        <f t="shared" si="68"/>
        <v>501.52019999999993</v>
      </c>
      <c r="J377" s="243">
        <f t="shared" si="68"/>
        <v>549.93399999999997</v>
      </c>
      <c r="K377" s="243">
        <f t="shared" si="68"/>
        <v>145.33699999999999</v>
      </c>
      <c r="L377" s="243">
        <f t="shared" si="68"/>
        <v>8.52</v>
      </c>
      <c r="M377" s="243">
        <f t="shared" si="68"/>
        <v>491.649</v>
      </c>
      <c r="N377" s="243">
        <f t="shared" si="68"/>
        <v>4.4139999999999999E-2</v>
      </c>
      <c r="O377" s="243">
        <f t="shared" si="68"/>
        <v>1.5539999999999998E-2</v>
      </c>
      <c r="P377" s="1024">
        <f t="shared" si="68"/>
        <v>1.8079999999999998</v>
      </c>
      <c r="Q377" s="360"/>
      <c r="AA377" s="44"/>
      <c r="AB377" s="44"/>
      <c r="AC377" s="223"/>
      <c r="AD377" s="44"/>
      <c r="AE377" s="153"/>
    </row>
    <row r="378" spans="2:31" ht="12.75" customHeight="1" thickBot="1">
      <c r="B378" s="513"/>
      <c r="C378" s="1347" t="s">
        <v>941</v>
      </c>
      <c r="D378" s="2261">
        <v>0.45</v>
      </c>
      <c r="E378" s="1355">
        <v>31.5</v>
      </c>
      <c r="F378" s="1365">
        <v>0.63</v>
      </c>
      <c r="G378" s="1364">
        <v>0.72</v>
      </c>
      <c r="H378" s="1364">
        <v>405</v>
      </c>
      <c r="I378" s="1365">
        <v>540</v>
      </c>
      <c r="J378" s="1364">
        <v>540</v>
      </c>
      <c r="K378" s="1364">
        <v>135</v>
      </c>
      <c r="L378" s="1365">
        <v>8.1</v>
      </c>
      <c r="M378" s="1365">
        <v>540</v>
      </c>
      <c r="N378" s="1365">
        <v>4.4999999999999998E-2</v>
      </c>
      <c r="O378" s="1364">
        <v>2.2499999999999999E-2</v>
      </c>
      <c r="P378" s="1366">
        <v>1.8</v>
      </c>
      <c r="Q378" s="360"/>
      <c r="AA378" s="44"/>
      <c r="AB378" s="44"/>
      <c r="AC378" s="223"/>
      <c r="AD378" s="44"/>
      <c r="AE378" s="153"/>
    </row>
    <row r="379" spans="2:31" ht="13.5" customHeight="1" thickBot="1">
      <c r="B379" s="237"/>
      <c r="C379" s="1347" t="s">
        <v>727</v>
      </c>
      <c r="D379" s="1348" t="s">
        <v>280</v>
      </c>
      <c r="E379" s="1416">
        <f>(E377*100/E371)-45</f>
        <v>-1.491428571428564</v>
      </c>
      <c r="F379" s="1370">
        <f t="shared" ref="F379:O379" si="69">(F377*100/F371)-45</f>
        <v>-3.1571428571428442</v>
      </c>
      <c r="G379" s="1370">
        <f t="shared" si="69"/>
        <v>6.9312499999999986</v>
      </c>
      <c r="H379" s="1370">
        <f t="shared" si="69"/>
        <v>-27.114444444444441</v>
      </c>
      <c r="I379" s="1370">
        <f t="shared" si="69"/>
        <v>-3.2066500000000104</v>
      </c>
      <c r="J379" s="1370">
        <f t="shared" si="69"/>
        <v>0.82783333333333076</v>
      </c>
      <c r="K379" s="1370">
        <f t="shared" si="69"/>
        <v>3.4456666666666607</v>
      </c>
      <c r="L379" s="1370">
        <f t="shared" si="69"/>
        <v>2.3333333333333357</v>
      </c>
      <c r="M379" s="1370">
        <f t="shared" si="69"/>
        <v>-4.0292499999999976</v>
      </c>
      <c r="N379" s="1370">
        <f t="shared" si="69"/>
        <v>-0.86000000000000654</v>
      </c>
      <c r="O379" s="1370">
        <f t="shared" si="69"/>
        <v>-13.920000000000005</v>
      </c>
      <c r="P379" s="1371">
        <f>(P377*100/P371)-45</f>
        <v>0.19999999999999574</v>
      </c>
      <c r="Q379" s="360"/>
      <c r="AA379" s="431"/>
      <c r="AB379" s="434"/>
      <c r="AC379" s="431"/>
      <c r="AD379" s="431"/>
      <c r="AE379" s="431"/>
    </row>
    <row r="380" spans="2:31" ht="15.75" thickBot="1"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360"/>
      <c r="AA380" s="432"/>
      <c r="AB380" s="437"/>
      <c r="AC380" s="437"/>
      <c r="AD380" s="438"/>
      <c r="AE380" s="439"/>
    </row>
    <row r="381" spans="2:31" ht="13.5" customHeight="1" thickBot="1">
      <c r="B381" s="1463" t="s">
        <v>741</v>
      </c>
      <c r="C381" s="34"/>
      <c r="D381" s="35"/>
      <c r="E381" s="149">
        <f>E348+E360+E367</f>
        <v>41.696000000000005</v>
      </c>
      <c r="F381" s="109">
        <f t="shared" ref="F381:P381" si="70">F348+F360+F367</f>
        <v>0.85470000000000013</v>
      </c>
      <c r="G381" s="1361">
        <f t="shared" si="70"/>
        <v>1.2379000000000002</v>
      </c>
      <c r="H381" s="1361">
        <f t="shared" si="70"/>
        <v>400.46500000000003</v>
      </c>
      <c r="I381" s="1361">
        <f t="shared" si="70"/>
        <v>768.05089999999996</v>
      </c>
      <c r="J381" s="1361">
        <f t="shared" si="70"/>
        <v>860.14900000000011</v>
      </c>
      <c r="K381" s="1361">
        <f t="shared" si="70"/>
        <v>202.547</v>
      </c>
      <c r="L381" s="1361">
        <f t="shared" si="70"/>
        <v>12.364000000000001</v>
      </c>
      <c r="M381" s="1361">
        <f t="shared" si="70"/>
        <v>781.17899999999997</v>
      </c>
      <c r="N381" s="1361">
        <f t="shared" si="70"/>
        <v>6.0040000000000003E-2</v>
      </c>
      <c r="O381" s="1361">
        <f t="shared" si="70"/>
        <v>2.6269999999999998E-2</v>
      </c>
      <c r="P381" s="1409">
        <f t="shared" si="70"/>
        <v>2.9710000000000001</v>
      </c>
      <c r="Q381" s="360"/>
      <c r="AA381" s="1"/>
      <c r="AB381" s="1"/>
      <c r="AC381" s="1"/>
      <c r="AD381" s="1"/>
    </row>
    <row r="382" spans="2:31">
      <c r="B382" s="88"/>
      <c r="C382" s="1354" t="s">
        <v>12</v>
      </c>
      <c r="D382" s="2261">
        <v>0.7</v>
      </c>
      <c r="E382" s="1355">
        <v>49</v>
      </c>
      <c r="F382" s="1365">
        <v>0.98</v>
      </c>
      <c r="G382" s="1364">
        <v>1.1200000000000001</v>
      </c>
      <c r="H382" s="1364">
        <v>630</v>
      </c>
      <c r="I382" s="1365">
        <v>840</v>
      </c>
      <c r="J382" s="1364">
        <v>840</v>
      </c>
      <c r="K382" s="1364">
        <v>210</v>
      </c>
      <c r="L382" s="1365">
        <v>12.6</v>
      </c>
      <c r="M382" s="1365">
        <v>840</v>
      </c>
      <c r="N382" s="1365">
        <v>7.0000000000000007E-2</v>
      </c>
      <c r="O382" s="1364">
        <v>3.5000000000000003E-2</v>
      </c>
      <c r="P382" s="1366">
        <v>2.8</v>
      </c>
      <c r="AA382" s="1"/>
      <c r="AB382" s="1"/>
      <c r="AC382" s="1"/>
      <c r="AD382" s="1"/>
    </row>
    <row r="383" spans="2:31" ht="15.75" thickBot="1">
      <c r="B383" s="237"/>
      <c r="C383" s="1347" t="s">
        <v>941</v>
      </c>
      <c r="D383" s="1348" t="s">
        <v>280</v>
      </c>
      <c r="E383" s="1416">
        <f>(E381*100/E371)-70</f>
        <v>-10.434285714285707</v>
      </c>
      <c r="F383" s="1370">
        <f t="shared" ref="F383:O383" si="71">(F381*100/F371)-70</f>
        <v>-8.9499999999999886</v>
      </c>
      <c r="G383" s="1370">
        <f t="shared" si="71"/>
        <v>7.3687500000000057</v>
      </c>
      <c r="H383" s="1370">
        <f t="shared" si="71"/>
        <v>-25.503888888888888</v>
      </c>
      <c r="I383" s="1370">
        <f t="shared" si="71"/>
        <v>-5.9957583333333417</v>
      </c>
      <c r="J383" s="1370">
        <f t="shared" si="71"/>
        <v>1.6790833333333381</v>
      </c>
      <c r="K383" s="1370">
        <f t="shared" si="71"/>
        <v>-2.4843333333333248</v>
      </c>
      <c r="L383" s="1370">
        <f t="shared" si="71"/>
        <v>-1.3111111111111029</v>
      </c>
      <c r="M383" s="1370">
        <f t="shared" si="71"/>
        <v>-4.9017500000000069</v>
      </c>
      <c r="N383" s="1370">
        <f t="shared" si="71"/>
        <v>-9.9600000000000009</v>
      </c>
      <c r="O383" s="1370">
        <f t="shared" si="71"/>
        <v>-17.460000000000008</v>
      </c>
      <c r="P383" s="1371">
        <f>(P381*100/P371)-70</f>
        <v>4.2750000000000057</v>
      </c>
      <c r="AA383" s="1"/>
      <c r="AB383" s="1"/>
      <c r="AC383" s="1"/>
      <c r="AD383" s="1"/>
    </row>
    <row r="384" spans="2:31" ht="14.25" customHeight="1">
      <c r="B384" s="1396"/>
      <c r="C384" s="4"/>
      <c r="D384" s="9"/>
      <c r="E384" s="44"/>
      <c r="F384" s="44"/>
      <c r="G384" s="44"/>
      <c r="H384" s="789"/>
      <c r="I384" s="1510"/>
      <c r="J384" s="153"/>
      <c r="K384" s="153"/>
      <c r="L384" s="153"/>
      <c r="M384" s="153"/>
      <c r="N384" s="153"/>
      <c r="O384" s="1511"/>
      <c r="P384" s="153"/>
      <c r="Q384" s="360"/>
      <c r="V384" s="702"/>
      <c r="W384" s="792"/>
      <c r="X384" s="793"/>
      <c r="Y384" s="793"/>
      <c r="Z384" s="1"/>
      <c r="AA384" s="1"/>
      <c r="AB384" s="1"/>
      <c r="AC384" s="1"/>
      <c r="AD384" s="1"/>
    </row>
    <row r="385" spans="2:33" ht="14.25" customHeight="1">
      <c r="R385" s="18"/>
      <c r="V385" s="1"/>
      <c r="W385" s="1"/>
      <c r="X385" s="1"/>
      <c r="Y385" s="1"/>
      <c r="Z385" s="1"/>
    </row>
    <row r="386" spans="2:33" ht="12" customHeight="1">
      <c r="R386" s="94"/>
      <c r="V386" s="19"/>
      <c r="W386" s="783"/>
      <c r="X386" s="783"/>
      <c r="Y386" s="784"/>
      <c r="Z386" s="1"/>
    </row>
    <row r="387" spans="2:33" ht="12.75" customHeight="1">
      <c r="R387" s="169"/>
      <c r="V387" s="785"/>
      <c r="W387" s="175"/>
      <c r="X387" s="786"/>
      <c r="Y387" s="349"/>
      <c r="Z387" s="1"/>
    </row>
    <row r="388" spans="2:33">
      <c r="R388" s="4"/>
      <c r="V388" s="787"/>
      <c r="W388" s="18"/>
      <c r="X388" s="349"/>
      <c r="Y388" s="349"/>
      <c r="Z388" s="1"/>
    </row>
    <row r="389" spans="2:33">
      <c r="R389" s="4"/>
      <c r="V389" s="44"/>
      <c r="W389" s="111"/>
      <c r="X389" s="722"/>
      <c r="Y389" s="788"/>
      <c r="Z389" s="1"/>
    </row>
    <row r="390" spans="2:33" ht="12.75" customHeight="1">
      <c r="R390" s="4"/>
      <c r="V390" s="44"/>
      <c r="W390" s="111"/>
      <c r="X390" s="3"/>
      <c r="Y390" s="721"/>
      <c r="Z390" s="1"/>
    </row>
    <row r="391" spans="2:33" ht="13.5" customHeight="1">
      <c r="C391" s="1300" t="s">
        <v>755</v>
      </c>
      <c r="D391"/>
      <c r="E391" s="32"/>
      <c r="K391" s="32"/>
      <c r="P391"/>
      <c r="Q391" s="360"/>
      <c r="R391" s="4"/>
      <c r="V391" s="44"/>
      <c r="W391" s="111"/>
      <c r="X391" s="722"/>
      <c r="Y391" s="721"/>
      <c r="Z391" s="1"/>
    </row>
    <row r="392" spans="2:33" ht="13.5" customHeight="1">
      <c r="C392" s="7" t="s">
        <v>735</v>
      </c>
      <c r="D392" s="8"/>
      <c r="E392" s="1" t="s">
        <v>736</v>
      </c>
      <c r="K392"/>
      <c r="P392"/>
      <c r="Q392" s="360"/>
      <c r="R392" s="4"/>
      <c r="V392" s="44"/>
      <c r="W392" s="805"/>
      <c r="X392" s="722"/>
      <c r="Y392" s="721"/>
      <c r="Z392" s="1"/>
    </row>
    <row r="393" spans="2:33" ht="12.75" customHeight="1">
      <c r="C393" s="1300" t="s">
        <v>694</v>
      </c>
      <c r="D393" s="19" t="s">
        <v>737</v>
      </c>
      <c r="E393"/>
      <c r="P393"/>
      <c r="Q393" s="360"/>
      <c r="V393" s="44"/>
      <c r="W393" s="111"/>
      <c r="X393" s="722"/>
      <c r="Y393" s="721"/>
      <c r="Z393" s="1"/>
    </row>
    <row r="394" spans="2:33" ht="12" customHeight="1" thickBot="1">
      <c r="B394" s="43" t="s">
        <v>698</v>
      </c>
      <c r="D394"/>
      <c r="G394" s="658" t="s">
        <v>1</v>
      </c>
      <c r="J394" s="20" t="s">
        <v>0</v>
      </c>
      <c r="K394"/>
      <c r="L394" s="2" t="s">
        <v>317</v>
      </c>
      <c r="M394" s="13"/>
      <c r="N394" s="13"/>
      <c r="O394" s="24"/>
      <c r="Q394" s="360"/>
      <c r="V394" s="44"/>
      <c r="W394" s="111"/>
      <c r="X394" s="722"/>
      <c r="Y394" s="721"/>
      <c r="Z394" s="1"/>
    </row>
    <row r="395" spans="2:33" ht="13.5" customHeight="1">
      <c r="B395" s="83" t="s">
        <v>738</v>
      </c>
      <c r="C395" s="58"/>
      <c r="D395" s="602"/>
      <c r="E395" s="1306" t="s">
        <v>701</v>
      </c>
      <c r="F395" s="1307"/>
      <c r="G395" s="1307"/>
      <c r="H395" s="1308"/>
      <c r="I395" s="1309" t="s">
        <v>730</v>
      </c>
      <c r="J395" s="31"/>
      <c r="K395" s="1310"/>
      <c r="L395" s="31"/>
      <c r="M395" s="31"/>
      <c r="N395" s="31"/>
      <c r="O395" s="31"/>
      <c r="P395" s="54"/>
      <c r="Q395" s="360"/>
      <c r="R395" s="169"/>
      <c r="V395" s="19"/>
      <c r="W395" s="19"/>
      <c r="X395" s="19"/>
      <c r="Y395" s="783"/>
      <c r="Z395" s="850"/>
      <c r="AA395" s="1"/>
      <c r="AB395" s="32"/>
      <c r="AC395" s="1"/>
      <c r="AD395" s="1"/>
      <c r="AE395" s="1"/>
      <c r="AF395" s="1"/>
    </row>
    <row r="396" spans="2:33" ht="12" customHeight="1">
      <c r="B396" s="61"/>
      <c r="C396" s="749" t="s">
        <v>763</v>
      </c>
      <c r="D396" s="605"/>
      <c r="E396" s="1312" t="s">
        <v>705</v>
      </c>
      <c r="F396" s="1313" t="s">
        <v>706</v>
      </c>
      <c r="G396" s="787" t="s">
        <v>707</v>
      </c>
      <c r="H396" s="1314" t="s">
        <v>708</v>
      </c>
      <c r="I396" s="1432" t="s">
        <v>709</v>
      </c>
      <c r="J396" s="1433" t="s">
        <v>710</v>
      </c>
      <c r="K396" s="1434" t="s">
        <v>711</v>
      </c>
      <c r="L396" s="1435" t="s">
        <v>712</v>
      </c>
      <c r="M396" s="1436" t="s">
        <v>713</v>
      </c>
      <c r="N396" s="1025" t="s">
        <v>714</v>
      </c>
      <c r="O396" s="1436" t="s">
        <v>715</v>
      </c>
      <c r="P396" s="1437" t="s">
        <v>716</v>
      </c>
      <c r="Q396" s="360"/>
      <c r="R396" s="4"/>
      <c r="V396" s="787"/>
      <c r="W396" s="787"/>
      <c r="X396" s="787"/>
      <c r="Y396" s="431"/>
      <c r="Z396" s="431"/>
      <c r="AA396" s="431"/>
      <c r="AB396" s="431"/>
      <c r="AC396" s="431"/>
      <c r="AD396" s="3"/>
      <c r="AE396" s="3"/>
      <c r="AF396" s="3"/>
      <c r="AG396" s="3"/>
    </row>
    <row r="397" spans="2:33" ht="11.25" customHeight="1" thickBot="1">
      <c r="B397" s="57"/>
      <c r="C397" s="803" t="s">
        <v>319</v>
      </c>
      <c r="D397" s="578"/>
      <c r="E397" s="56"/>
      <c r="F397" s="1378"/>
      <c r="H397" s="1378"/>
      <c r="I397" s="1438" t="s">
        <v>719</v>
      </c>
      <c r="J397" s="1419" t="s">
        <v>720</v>
      </c>
      <c r="K397" s="1401" t="s">
        <v>721</v>
      </c>
      <c r="L397" s="1402" t="s">
        <v>722</v>
      </c>
      <c r="M397" s="1439" t="s">
        <v>723</v>
      </c>
      <c r="N397" s="1440" t="s">
        <v>724</v>
      </c>
      <c r="O397" s="1439" t="s">
        <v>725</v>
      </c>
      <c r="P397" s="1441" t="s">
        <v>726</v>
      </c>
      <c r="Q397" s="360"/>
      <c r="R397" s="4"/>
      <c r="V397" s="1"/>
      <c r="W397" s="1"/>
      <c r="X397" s="1"/>
      <c r="Y397" s="1"/>
      <c r="Z397" s="119"/>
      <c r="AA397" s="119"/>
      <c r="AB397" s="2189"/>
      <c r="AC397" s="2189"/>
      <c r="AD397" s="2189"/>
      <c r="AE397" s="46"/>
      <c r="AF397" s="119"/>
      <c r="AG397" s="2189"/>
    </row>
    <row r="398" spans="2:33">
      <c r="B398" s="2370" t="s">
        <v>963</v>
      </c>
      <c r="C398" s="1007"/>
      <c r="D398" s="1008">
        <v>1</v>
      </c>
      <c r="E398" s="442">
        <v>70</v>
      </c>
      <c r="F398" s="59">
        <v>1.4</v>
      </c>
      <c r="G398" s="59">
        <v>1.6</v>
      </c>
      <c r="H398" s="60">
        <v>900</v>
      </c>
      <c r="I398" s="1442">
        <v>1200</v>
      </c>
      <c r="J398" s="1442">
        <v>1200</v>
      </c>
      <c r="K398" s="1442">
        <v>300</v>
      </c>
      <c r="L398" s="1442">
        <v>18</v>
      </c>
      <c r="M398" s="1442">
        <v>1200</v>
      </c>
      <c r="N398" s="1442">
        <v>0.1</v>
      </c>
      <c r="O398" s="1442">
        <v>0.05</v>
      </c>
      <c r="P398" s="1443">
        <v>4</v>
      </c>
      <c r="Q398" s="360"/>
      <c r="R398" s="4"/>
      <c r="V398" s="2190"/>
      <c r="W398" s="723"/>
      <c r="X398" s="723"/>
      <c r="Y398" s="724"/>
      <c r="Z398" s="795"/>
      <c r="AA398" s="795"/>
      <c r="AB398" s="795"/>
      <c r="AC398" s="795"/>
      <c r="AD398" s="795"/>
      <c r="AE398" s="795"/>
      <c r="AF398" s="795"/>
      <c r="AG398" s="795"/>
    </row>
    <row r="399" spans="2:33" ht="10.5" customHeight="1">
      <c r="B399" s="168"/>
      <c r="C399" s="150" t="s">
        <v>145</v>
      </c>
      <c r="D399" s="614"/>
      <c r="E399" s="769"/>
      <c r="F399" s="443"/>
      <c r="G399" s="443"/>
      <c r="H399" s="443"/>
      <c r="I399" s="443"/>
      <c r="J399" s="443"/>
      <c r="K399" s="443"/>
      <c r="L399" s="443"/>
      <c r="M399" s="443"/>
      <c r="N399" s="443"/>
      <c r="O399" s="443"/>
      <c r="P399" s="770"/>
      <c r="Q399" s="360"/>
      <c r="R399" s="4"/>
      <c r="V399" s="725"/>
      <c r="W399" s="725"/>
      <c r="X399" s="725"/>
      <c r="Y399" s="725"/>
      <c r="Z399" s="725"/>
      <c r="AA399" s="725"/>
      <c r="AB399" s="725"/>
      <c r="AC399" s="725"/>
      <c r="AD399" s="725"/>
      <c r="AE399" s="725"/>
      <c r="AF399" s="725"/>
      <c r="AG399" s="725"/>
    </row>
    <row r="400" spans="2:33">
      <c r="B400" s="1444" t="s">
        <v>512</v>
      </c>
      <c r="C400" s="616" t="s">
        <v>475</v>
      </c>
      <c r="D400" s="391">
        <v>0.25</v>
      </c>
      <c r="E400" s="1445">
        <v>17.5</v>
      </c>
      <c r="F400" s="1446">
        <v>0.35</v>
      </c>
      <c r="G400" s="1446">
        <v>0.4</v>
      </c>
      <c r="H400" s="1475">
        <v>225</v>
      </c>
      <c r="I400" s="1446">
        <v>300</v>
      </c>
      <c r="J400" s="1446">
        <v>300</v>
      </c>
      <c r="K400" s="1446">
        <v>75</v>
      </c>
      <c r="L400" s="1446">
        <v>4.5</v>
      </c>
      <c r="M400" s="1446">
        <v>300</v>
      </c>
      <c r="N400" s="1446">
        <v>2.5000000000000001E-2</v>
      </c>
      <c r="O400" s="1446">
        <v>1.2500000000000001E-2</v>
      </c>
      <c r="P400" s="1452">
        <v>1</v>
      </c>
      <c r="Q400" s="360"/>
      <c r="R400" s="4"/>
      <c r="V400" s="2197"/>
      <c r="W400" s="2197"/>
      <c r="X400" s="2197"/>
      <c r="Y400" s="2197"/>
      <c r="Z400" s="2198"/>
      <c r="AA400" s="2197"/>
      <c r="AB400" s="2197"/>
      <c r="AC400" s="2197"/>
      <c r="AD400" s="2197"/>
      <c r="AE400" s="726"/>
      <c r="AF400" s="2191"/>
      <c r="AG400" s="2197"/>
    </row>
    <row r="401" spans="2:33" ht="11.25" customHeight="1">
      <c r="B401" s="61"/>
      <c r="C401" s="617"/>
      <c r="D401" s="618"/>
      <c r="E401" s="2454"/>
      <c r="F401" s="2455"/>
      <c r="G401" s="2455"/>
      <c r="H401" s="2455"/>
      <c r="I401" s="2455"/>
      <c r="J401" s="2455"/>
      <c r="K401" s="2455"/>
      <c r="L401" s="2455"/>
      <c r="M401" s="2455"/>
      <c r="N401" s="2455"/>
      <c r="O401" s="2455"/>
      <c r="P401" s="2456"/>
      <c r="Q401" s="360"/>
      <c r="R401" s="4"/>
      <c r="V401" s="2192"/>
      <c r="W401" s="2192"/>
      <c r="X401" s="2192"/>
      <c r="Y401" s="2192"/>
      <c r="Z401" s="2192"/>
      <c r="AA401" s="2192"/>
      <c r="AB401" s="2192"/>
      <c r="AC401" s="2192"/>
      <c r="AD401" s="2192"/>
      <c r="AE401" s="2192"/>
      <c r="AF401" s="2192"/>
      <c r="AG401" s="2192"/>
    </row>
    <row r="402" spans="2:33" ht="15.75" thickBot="1">
      <c r="B402" s="1449"/>
      <c r="C402" s="621" t="s">
        <v>757</v>
      </c>
      <c r="D402" s="1451"/>
      <c r="E402" s="1518">
        <f>(E77+E132+E186+E241+E291+E348)/6</f>
        <v>16.178166666666666</v>
      </c>
      <c r="F402" s="1518">
        <f t="shared" ref="F402:P402" si="72">(F77+F132+F186+F241+F291+F348)/6</f>
        <v>0.33166666666666667</v>
      </c>
      <c r="G402" s="1518">
        <f t="shared" si="72"/>
        <v>0.38583333333333331</v>
      </c>
      <c r="H402" s="1518">
        <f t="shared" si="72"/>
        <v>216.61333333333337</v>
      </c>
      <c r="I402" s="1518">
        <f t="shared" si="72"/>
        <v>284.4366333333333</v>
      </c>
      <c r="J402" s="1518">
        <f t="shared" si="72"/>
        <v>292.16950000000003</v>
      </c>
      <c r="K402" s="1518">
        <f t="shared" si="72"/>
        <v>71.045166666666674</v>
      </c>
      <c r="L402" s="1518">
        <f t="shared" si="72"/>
        <v>4.4751666666666674</v>
      </c>
      <c r="M402" s="1518">
        <f t="shared" si="72"/>
        <v>292.84800000000001</v>
      </c>
      <c r="N402" s="1518">
        <f t="shared" si="72"/>
        <v>2.4949999999999996E-2</v>
      </c>
      <c r="O402" s="1518">
        <f t="shared" si="72"/>
        <v>1.6291666666666666E-2</v>
      </c>
      <c r="P402" s="1518">
        <f t="shared" si="72"/>
        <v>1.0196666666666667</v>
      </c>
      <c r="Q402" s="360"/>
      <c r="R402" s="4"/>
      <c r="V402" s="430"/>
      <c r="W402" s="1555"/>
      <c r="X402" s="430"/>
      <c r="Y402" s="147"/>
      <c r="Z402" s="430"/>
      <c r="AA402" s="430"/>
      <c r="AB402" s="430"/>
      <c r="AC402" s="430"/>
      <c r="AD402" s="430"/>
      <c r="AE402" s="430"/>
      <c r="AF402" s="430"/>
      <c r="AG402" s="430"/>
    </row>
    <row r="403" spans="2:33" ht="15.75" thickBot="1">
      <c r="B403" s="237"/>
      <c r="C403" s="1347" t="s">
        <v>727</v>
      </c>
      <c r="D403" s="1356" t="s">
        <v>280</v>
      </c>
      <c r="E403" s="1416">
        <f>(E402*100/E398)-25</f>
        <v>-1.8883333333333354</v>
      </c>
      <c r="F403" s="1370">
        <f t="shared" ref="F403:O403" si="73">(F402*100/F398)-25</f>
        <v>-1.3095238095238102</v>
      </c>
      <c r="G403" s="1370">
        <f>(G402*100/G398)-25</f>
        <v>-0.8854166666666714</v>
      </c>
      <c r="H403" s="1370">
        <f t="shared" si="73"/>
        <v>-0.93185185185184949</v>
      </c>
      <c r="I403" s="1370">
        <f t="shared" si="73"/>
        <v>-1.2969472222222258</v>
      </c>
      <c r="J403" s="1370">
        <f t="shared" si="73"/>
        <v>-0.65254166666666436</v>
      </c>
      <c r="K403" s="1370">
        <f t="shared" si="73"/>
        <v>-1.3182777777777765</v>
      </c>
      <c r="L403" s="1370">
        <f t="shared" si="73"/>
        <v>-0.13796296296295907</v>
      </c>
      <c r="M403" s="1370">
        <f t="shared" si="73"/>
        <v>-0.59599999999999653</v>
      </c>
      <c r="N403" s="1370">
        <f t="shared" si="73"/>
        <v>-5.0000000000004263E-2</v>
      </c>
      <c r="O403" s="1370">
        <f t="shared" si="73"/>
        <v>7.5833333333333286</v>
      </c>
      <c r="P403" s="1371">
        <f>(P402*100/P398)-25</f>
        <v>0.49166666666666714</v>
      </c>
      <c r="Q403" s="360"/>
      <c r="R403" s="433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2:33" ht="11.25" customHeight="1" thickBot="1">
      <c r="Q404" s="360"/>
      <c r="R404" s="433"/>
      <c r="V404" s="19"/>
      <c r="W404" s="19"/>
      <c r="X404" s="19"/>
      <c r="Y404" s="783"/>
      <c r="Z404" s="850"/>
      <c r="AA404" s="1"/>
      <c r="AB404" s="32"/>
      <c r="AC404" s="1"/>
      <c r="AD404" s="1"/>
      <c r="AE404" s="1"/>
      <c r="AF404" s="1"/>
    </row>
    <row r="405" spans="2:33" ht="12.75" customHeight="1">
      <c r="B405" s="83" t="s">
        <v>738</v>
      </c>
      <c r="C405" s="58"/>
      <c r="D405" s="602"/>
      <c r="E405" s="1306" t="s">
        <v>701</v>
      </c>
      <c r="F405" s="1307"/>
      <c r="G405" s="1307"/>
      <c r="H405" s="1308"/>
      <c r="I405" s="1309" t="s">
        <v>730</v>
      </c>
      <c r="J405" s="31"/>
      <c r="K405" s="1310"/>
      <c r="L405" s="31"/>
      <c r="M405" s="31"/>
      <c r="N405" s="31"/>
      <c r="O405" s="31"/>
      <c r="P405" s="54"/>
      <c r="Q405" s="360"/>
      <c r="R405" s="794"/>
      <c r="V405" s="787"/>
      <c r="W405" s="787"/>
      <c r="X405" s="787"/>
      <c r="Y405" s="431"/>
      <c r="Z405" s="431"/>
      <c r="AA405" s="431"/>
      <c r="AB405" s="431"/>
      <c r="AC405" s="431"/>
      <c r="AD405" s="3"/>
      <c r="AE405" s="3"/>
      <c r="AF405" s="3"/>
      <c r="AG405" s="3"/>
    </row>
    <row r="406" spans="2:33" ht="12.75" customHeight="1">
      <c r="B406" s="61"/>
      <c r="C406" s="749" t="s">
        <v>762</v>
      </c>
      <c r="D406" s="605"/>
      <c r="E406" s="1312" t="s">
        <v>705</v>
      </c>
      <c r="F406" s="1313" t="s">
        <v>706</v>
      </c>
      <c r="G406" s="787" t="s">
        <v>707</v>
      </c>
      <c r="H406" s="1314" t="s">
        <v>708</v>
      </c>
      <c r="I406" s="1432" t="s">
        <v>709</v>
      </c>
      <c r="J406" s="1433" t="s">
        <v>710</v>
      </c>
      <c r="K406" s="1434" t="s">
        <v>711</v>
      </c>
      <c r="L406" s="1435" t="s">
        <v>712</v>
      </c>
      <c r="M406" s="1436" t="s">
        <v>713</v>
      </c>
      <c r="N406" s="1025" t="s">
        <v>714</v>
      </c>
      <c r="O406" s="1436" t="s">
        <v>715</v>
      </c>
      <c r="P406" s="1437" t="s">
        <v>716</v>
      </c>
      <c r="Q406" s="360"/>
      <c r="V406" s="1"/>
      <c r="W406" s="1"/>
      <c r="X406" s="1"/>
      <c r="Y406" s="1"/>
      <c r="Z406" s="119"/>
      <c r="AA406" s="119"/>
      <c r="AB406" s="2189"/>
      <c r="AC406" s="2189"/>
      <c r="AD406" s="2189"/>
      <c r="AE406" s="46"/>
      <c r="AF406" s="119"/>
      <c r="AG406" s="2189"/>
    </row>
    <row r="407" spans="2:33" ht="13.5" customHeight="1" thickBot="1">
      <c r="B407" s="57"/>
      <c r="C407" s="803" t="s">
        <v>319</v>
      </c>
      <c r="D407" s="578"/>
      <c r="E407" s="56"/>
      <c r="F407" s="1378"/>
      <c r="H407" s="1378"/>
      <c r="I407" s="1379" t="s">
        <v>719</v>
      </c>
      <c r="J407" s="119" t="s">
        <v>720</v>
      </c>
      <c r="K407" s="1380" t="s">
        <v>721</v>
      </c>
      <c r="L407" s="1381" t="s">
        <v>722</v>
      </c>
      <c r="M407" s="1380" t="s">
        <v>723</v>
      </c>
      <c r="N407" s="46" t="s">
        <v>724</v>
      </c>
      <c r="O407" s="1382" t="s">
        <v>725</v>
      </c>
      <c r="P407" s="1383" t="s">
        <v>726</v>
      </c>
      <c r="Q407" s="360"/>
      <c r="V407" s="2190"/>
      <c r="W407" s="723"/>
      <c r="X407" s="723"/>
      <c r="Y407" s="724"/>
      <c r="Z407" s="795"/>
      <c r="AA407" s="795"/>
      <c r="AB407" s="795"/>
      <c r="AC407" s="795"/>
      <c r="AD407" s="795"/>
      <c r="AE407" s="795"/>
      <c r="AF407" s="795"/>
      <c r="AG407" s="795"/>
    </row>
    <row r="408" spans="2:33">
      <c r="B408" s="2370" t="s">
        <v>963</v>
      </c>
      <c r="C408" s="1007"/>
      <c r="D408" s="1008">
        <v>1</v>
      </c>
      <c r="E408" s="442">
        <v>70</v>
      </c>
      <c r="F408" s="59">
        <v>1.4</v>
      </c>
      <c r="G408" s="59">
        <v>1.6</v>
      </c>
      <c r="H408" s="60">
        <v>900</v>
      </c>
      <c r="I408" s="1442">
        <v>1200</v>
      </c>
      <c r="J408" s="1442">
        <v>1200</v>
      </c>
      <c r="K408" s="1442">
        <v>300</v>
      </c>
      <c r="L408" s="1442">
        <v>18</v>
      </c>
      <c r="M408" s="1442">
        <v>1200</v>
      </c>
      <c r="N408" s="1442">
        <v>0.1</v>
      </c>
      <c r="O408" s="1442">
        <v>0.05</v>
      </c>
      <c r="P408" s="1443">
        <v>4</v>
      </c>
      <c r="Q408" s="360"/>
      <c r="R408" s="171"/>
      <c r="V408" s="725"/>
      <c r="W408" s="725"/>
      <c r="X408" s="725"/>
      <c r="Y408" s="725"/>
      <c r="Z408" s="725"/>
      <c r="AA408" s="725"/>
      <c r="AB408" s="725"/>
      <c r="AC408" s="725"/>
      <c r="AD408" s="725"/>
      <c r="AE408" s="725"/>
      <c r="AF408" s="725"/>
      <c r="AG408" s="725"/>
    </row>
    <row r="409" spans="2:33">
      <c r="B409" s="168"/>
      <c r="C409" s="150" t="s">
        <v>145</v>
      </c>
      <c r="D409" s="614"/>
      <c r="E409" s="769"/>
      <c r="F409" s="443"/>
      <c r="G409" s="443"/>
      <c r="H409" s="443"/>
      <c r="I409" s="443"/>
      <c r="J409" s="443"/>
      <c r="K409" s="443"/>
      <c r="L409" s="443"/>
      <c r="M409" s="443"/>
      <c r="N409" s="443"/>
      <c r="O409" s="443"/>
      <c r="P409" s="770"/>
      <c r="Q409" s="360"/>
      <c r="R409" s="19"/>
      <c r="V409" s="2197"/>
      <c r="W409" s="2197"/>
      <c r="X409" s="2197"/>
      <c r="Y409" s="2197"/>
      <c r="Z409" s="2198"/>
      <c r="AA409" s="2197"/>
      <c r="AB409" s="2197"/>
      <c r="AC409" s="2197"/>
      <c r="AD409" s="2197"/>
      <c r="AE409" s="726"/>
      <c r="AF409" s="2191"/>
      <c r="AG409" s="2197"/>
    </row>
    <row r="410" spans="2:33">
      <c r="B410" s="1444" t="s">
        <v>512</v>
      </c>
      <c r="C410" s="616" t="s">
        <v>476</v>
      </c>
      <c r="D410" s="391">
        <v>0.35</v>
      </c>
      <c r="E410" s="1445">
        <v>24.5</v>
      </c>
      <c r="F410" s="1446">
        <v>0.49</v>
      </c>
      <c r="G410" s="1446">
        <v>0.56000000000000005</v>
      </c>
      <c r="H410" s="1475">
        <v>315</v>
      </c>
      <c r="I410" s="1446">
        <v>420</v>
      </c>
      <c r="J410" s="1446">
        <v>420</v>
      </c>
      <c r="K410" s="1446">
        <v>105</v>
      </c>
      <c r="L410" s="1446">
        <v>6.3</v>
      </c>
      <c r="M410" s="1446">
        <v>420</v>
      </c>
      <c r="N410" s="1446">
        <v>3.5000000000000003E-2</v>
      </c>
      <c r="O410" s="1446">
        <v>1.7500000000000002E-2</v>
      </c>
      <c r="P410" s="1452">
        <v>1.4</v>
      </c>
      <c r="Q410" s="360"/>
      <c r="R410" s="13"/>
      <c r="V410" s="2192"/>
      <c r="W410" s="2192"/>
      <c r="X410" s="2192"/>
      <c r="Y410" s="2192"/>
      <c r="Z410" s="2192"/>
      <c r="AA410" s="2192"/>
      <c r="AB410" s="2192"/>
      <c r="AC410" s="2192"/>
      <c r="AD410" s="2192"/>
      <c r="AE410" s="2192"/>
      <c r="AF410" s="2192"/>
      <c r="AG410" s="2192"/>
    </row>
    <row r="411" spans="2:33" ht="15.75" thickBot="1">
      <c r="B411" s="1449"/>
      <c r="C411" s="621" t="s">
        <v>757</v>
      </c>
      <c r="D411" s="1451"/>
      <c r="E411" s="1518">
        <f>(E88+E143+E198+E252+E304+E360)/6</f>
        <v>26.869933333333336</v>
      </c>
      <c r="F411" s="1518">
        <f t="shared" ref="F411:P411" si="74">(F88+F143+F198+F252+F304+F360)/6</f>
        <v>0.52303333333333335</v>
      </c>
      <c r="G411" s="1518">
        <f t="shared" si="74"/>
        <v>0.59506666666666674</v>
      </c>
      <c r="H411" s="1518">
        <f t="shared" si="74"/>
        <v>339.40899999999999</v>
      </c>
      <c r="I411" s="1518">
        <f t="shared" si="74"/>
        <v>417.72250000000003</v>
      </c>
      <c r="J411" s="1518">
        <f t="shared" si="74"/>
        <v>429.98766666666671</v>
      </c>
      <c r="K411" s="1518">
        <f t="shared" si="74"/>
        <v>118.90416666666665</v>
      </c>
      <c r="L411" s="1518">
        <f t="shared" si="74"/>
        <v>6.2606666666666664</v>
      </c>
      <c r="M411" s="1518">
        <f t="shared" si="74"/>
        <v>421.14983333333339</v>
      </c>
      <c r="N411" s="1518">
        <f t="shared" si="74"/>
        <v>3.0723333333333339E-2</v>
      </c>
      <c r="O411" s="1518">
        <f t="shared" si="74"/>
        <v>1.779E-2</v>
      </c>
      <c r="P411" s="1518">
        <f t="shared" si="74"/>
        <v>1.4145666666666667</v>
      </c>
      <c r="Q411" s="360"/>
      <c r="V411" s="430"/>
      <c r="W411" s="430"/>
      <c r="X411" s="430"/>
      <c r="Y411" s="430"/>
      <c r="Z411" s="147"/>
      <c r="AA411" s="430"/>
      <c r="AB411" s="430"/>
      <c r="AC411" s="430"/>
      <c r="AD411" s="430"/>
      <c r="AE411" s="430"/>
      <c r="AF411" s="1555"/>
      <c r="AG411" s="430"/>
    </row>
    <row r="412" spans="2:33" ht="15.75" thickBot="1">
      <c r="B412" s="237"/>
      <c r="C412" s="1347" t="s">
        <v>727</v>
      </c>
      <c r="D412" s="1356" t="s">
        <v>280</v>
      </c>
      <c r="E412" s="1416">
        <f>(E411*100/E408)-35</f>
        <v>3.385619047619052</v>
      </c>
      <c r="F412" s="1370">
        <f>(F411*100/F408)-35</f>
        <v>2.3595238095238145</v>
      </c>
      <c r="G412" s="1370">
        <f t="shared" ref="G412:O412" si="75">(G411*100/G408)-35</f>
        <v>2.19166666666667</v>
      </c>
      <c r="H412" s="1370">
        <f t="shared" si="75"/>
        <v>2.7121111111111134</v>
      </c>
      <c r="I412" s="1370">
        <f t="shared" si="75"/>
        <v>-0.18979166666666458</v>
      </c>
      <c r="J412" s="1370">
        <f t="shared" si="75"/>
        <v>0.83230555555555696</v>
      </c>
      <c r="K412" s="1370">
        <f t="shared" si="75"/>
        <v>4.6347222222222229</v>
      </c>
      <c r="L412" s="1370">
        <f t="shared" si="75"/>
        <v>-0.21851851851852189</v>
      </c>
      <c r="M412" s="1370">
        <f t="shared" si="75"/>
        <v>9.5819444444444457E-2</v>
      </c>
      <c r="N412" s="1370">
        <f t="shared" si="75"/>
        <v>-4.2766666666666637</v>
      </c>
      <c r="O412" s="1370">
        <f t="shared" si="75"/>
        <v>0.57999999999999829</v>
      </c>
      <c r="P412" s="1371">
        <f>(P411*100/P408)-35</f>
        <v>0.36416666666666941</v>
      </c>
      <c r="Q412" s="360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2:33" ht="11.25" customHeight="1" thickBot="1">
      <c r="Q413" s="360"/>
      <c r="R413" s="18"/>
      <c r="V413" s="19"/>
      <c r="W413" s="19"/>
      <c r="X413" s="19"/>
      <c r="Y413" s="783"/>
      <c r="Z413" s="850"/>
      <c r="AA413" s="1"/>
      <c r="AB413" s="32"/>
      <c r="AC413" s="1"/>
      <c r="AD413" s="1"/>
      <c r="AE413" s="1"/>
      <c r="AF413" s="1"/>
    </row>
    <row r="414" spans="2:33">
      <c r="B414" s="83" t="s">
        <v>738</v>
      </c>
      <c r="C414" s="58"/>
      <c r="D414" s="602"/>
      <c r="E414" s="1306" t="s">
        <v>701</v>
      </c>
      <c r="F414" s="1307"/>
      <c r="G414" s="1307"/>
      <c r="H414" s="1308"/>
      <c r="I414" s="1309" t="s">
        <v>730</v>
      </c>
      <c r="J414" s="31"/>
      <c r="K414" s="1310"/>
      <c r="L414" s="31"/>
      <c r="M414" s="31"/>
      <c r="N414" s="31"/>
      <c r="O414" s="31"/>
      <c r="P414" s="54"/>
      <c r="Q414" s="360"/>
      <c r="R414" s="9"/>
      <c r="V414" s="787"/>
      <c r="W414" s="787"/>
      <c r="X414" s="787"/>
      <c r="Y414" s="431"/>
      <c r="Z414" s="431"/>
      <c r="AA414" s="431"/>
      <c r="AB414" s="431"/>
      <c r="AC414" s="431"/>
      <c r="AD414" s="3"/>
      <c r="AE414" s="3"/>
      <c r="AF414" s="3"/>
      <c r="AG414" s="3"/>
    </row>
    <row r="415" spans="2:33" ht="13.5" customHeight="1">
      <c r="B415" s="61"/>
      <c r="C415" s="749" t="s">
        <v>761</v>
      </c>
      <c r="D415" s="605"/>
      <c r="E415" s="1312" t="s">
        <v>705</v>
      </c>
      <c r="F415" s="1313" t="s">
        <v>706</v>
      </c>
      <c r="G415" s="787" t="s">
        <v>707</v>
      </c>
      <c r="H415" s="1314" t="s">
        <v>708</v>
      </c>
      <c r="I415" s="1432" t="s">
        <v>709</v>
      </c>
      <c r="J415" s="1433" t="s">
        <v>710</v>
      </c>
      <c r="K415" s="1434" t="s">
        <v>711</v>
      </c>
      <c r="L415" s="1435" t="s">
        <v>712</v>
      </c>
      <c r="M415" s="1436" t="s">
        <v>713</v>
      </c>
      <c r="N415" s="1025" t="s">
        <v>714</v>
      </c>
      <c r="O415" s="1436" t="s">
        <v>715</v>
      </c>
      <c r="P415" s="1437" t="s">
        <v>716</v>
      </c>
      <c r="Q415" s="360"/>
      <c r="R415" s="9"/>
      <c r="V415" s="1"/>
      <c r="W415" s="1"/>
      <c r="X415" s="1"/>
      <c r="Y415" s="1"/>
      <c r="Z415" s="119"/>
      <c r="AA415" s="119"/>
      <c r="AB415" s="2189"/>
      <c r="AC415" s="2189"/>
      <c r="AD415" s="2189"/>
      <c r="AE415" s="46"/>
      <c r="AF415" s="119"/>
      <c r="AG415" s="2189"/>
    </row>
    <row r="416" spans="2:33" ht="14.25" customHeight="1" thickBot="1">
      <c r="B416" s="57"/>
      <c r="C416" s="803" t="s">
        <v>319</v>
      </c>
      <c r="D416" s="578"/>
      <c r="E416" s="56"/>
      <c r="F416" s="1378"/>
      <c r="H416" s="1378"/>
      <c r="I416" s="1379" t="s">
        <v>719</v>
      </c>
      <c r="J416" s="119" t="s">
        <v>720</v>
      </c>
      <c r="K416" s="1380" t="s">
        <v>721</v>
      </c>
      <c r="L416" s="1381" t="s">
        <v>722</v>
      </c>
      <c r="M416" s="1380" t="s">
        <v>723</v>
      </c>
      <c r="N416" s="46" t="s">
        <v>724</v>
      </c>
      <c r="O416" s="1382" t="s">
        <v>725</v>
      </c>
      <c r="P416" s="1383" t="s">
        <v>726</v>
      </c>
      <c r="Q416" s="360"/>
      <c r="R416" s="9"/>
      <c r="V416" s="2190"/>
      <c r="W416" s="723"/>
      <c r="X416" s="723"/>
      <c r="Y416" s="724"/>
      <c r="Z416" s="795"/>
      <c r="AA416" s="795"/>
      <c r="AB416" s="795"/>
      <c r="AC416" s="795"/>
      <c r="AD416" s="795"/>
      <c r="AE416" s="795"/>
      <c r="AF416" s="795"/>
      <c r="AG416" s="795"/>
    </row>
    <row r="417" spans="2:33">
      <c r="B417" s="2370" t="s">
        <v>963</v>
      </c>
      <c r="C417" s="1288"/>
      <c r="D417" s="746">
        <v>1</v>
      </c>
      <c r="E417" s="442">
        <v>70</v>
      </c>
      <c r="F417" s="59">
        <v>1.4</v>
      </c>
      <c r="G417" s="59">
        <v>1.6</v>
      </c>
      <c r="H417" s="60">
        <v>900</v>
      </c>
      <c r="I417" s="1442">
        <v>1200</v>
      </c>
      <c r="J417" s="1442">
        <v>1200</v>
      </c>
      <c r="K417" s="1442">
        <v>300</v>
      </c>
      <c r="L417" s="1442">
        <v>18</v>
      </c>
      <c r="M417" s="1442">
        <v>1200</v>
      </c>
      <c r="N417" s="1442">
        <v>0.1</v>
      </c>
      <c r="O417" s="1442">
        <v>0.05</v>
      </c>
      <c r="P417" s="1443">
        <v>4</v>
      </c>
      <c r="Q417" s="360"/>
      <c r="R417" s="9"/>
      <c r="V417" s="725"/>
      <c r="W417" s="725"/>
      <c r="X417" s="725"/>
      <c r="Y417" s="725"/>
      <c r="Z417" s="725"/>
      <c r="AA417" s="725"/>
      <c r="AB417" s="725"/>
      <c r="AC417" s="725"/>
      <c r="AD417" s="725"/>
      <c r="AE417" s="725"/>
      <c r="AF417" s="725"/>
      <c r="AG417" s="725"/>
    </row>
    <row r="418" spans="2:33">
      <c r="B418" s="168"/>
      <c r="C418" s="150" t="s">
        <v>145</v>
      </c>
      <c r="D418" s="614"/>
      <c r="E418" s="769"/>
      <c r="F418" s="443"/>
      <c r="G418" s="443"/>
      <c r="H418" s="443"/>
      <c r="I418" s="443"/>
      <c r="J418" s="443"/>
      <c r="K418" s="443"/>
      <c r="L418" s="443"/>
      <c r="M418" s="443"/>
      <c r="N418" s="443"/>
      <c r="O418" s="443"/>
      <c r="P418" s="770"/>
      <c r="Q418" s="360"/>
      <c r="R418" s="66"/>
      <c r="V418" s="2197"/>
      <c r="W418" s="2197"/>
      <c r="X418" s="2197"/>
      <c r="Y418" s="2197"/>
      <c r="Z418" s="2198"/>
      <c r="AA418" s="2197"/>
      <c r="AB418" s="2197"/>
      <c r="AC418" s="2197"/>
      <c r="AD418" s="2197"/>
      <c r="AE418" s="2197"/>
      <c r="AF418" s="726"/>
      <c r="AG418" s="2197"/>
    </row>
    <row r="419" spans="2:33">
      <c r="B419" s="1444" t="s">
        <v>512</v>
      </c>
      <c r="C419" s="616" t="s">
        <v>472</v>
      </c>
      <c r="D419" s="391">
        <v>0.1</v>
      </c>
      <c r="E419" s="1445">
        <v>7</v>
      </c>
      <c r="F419" s="1446">
        <v>0.14000000000000001</v>
      </c>
      <c r="G419" s="1446">
        <v>0.16</v>
      </c>
      <c r="H419" s="1475">
        <v>90</v>
      </c>
      <c r="I419" s="1446">
        <v>120</v>
      </c>
      <c r="J419" s="1446">
        <v>120</v>
      </c>
      <c r="K419" s="1446">
        <v>30</v>
      </c>
      <c r="L419" s="1446">
        <v>1.8</v>
      </c>
      <c r="M419" s="1446">
        <v>120</v>
      </c>
      <c r="N419" s="1446">
        <v>0.01</v>
      </c>
      <c r="O419" s="1446">
        <v>5.0000000000000001E-3</v>
      </c>
      <c r="P419" s="1452">
        <v>0.4</v>
      </c>
      <c r="Q419" s="360"/>
      <c r="R419" s="9"/>
      <c r="V419" s="2192"/>
      <c r="W419" s="2192"/>
      <c r="X419" s="2192"/>
      <c r="Y419" s="2192"/>
      <c r="Z419" s="2192"/>
      <c r="AA419" s="2192"/>
      <c r="AB419" s="2192"/>
      <c r="AC419" s="2192"/>
      <c r="AD419" s="2192"/>
      <c r="AE419" s="2192"/>
      <c r="AF419" s="2192"/>
      <c r="AG419" s="2192"/>
    </row>
    <row r="420" spans="2:33" ht="15.75" thickBot="1">
      <c r="B420" s="1449"/>
      <c r="C420" s="621" t="s">
        <v>757</v>
      </c>
      <c r="D420" s="1451"/>
      <c r="E420" s="1518">
        <f t="shared" ref="E420:P420" si="76">(E95+E150+E206+E259+E311+E367)/6</f>
        <v>6.318716666666667</v>
      </c>
      <c r="F420" s="1518">
        <f t="shared" si="76"/>
        <v>0.13383333333333333</v>
      </c>
      <c r="G420" s="1518">
        <f t="shared" si="76"/>
        <v>0.15521666666666667</v>
      </c>
      <c r="H420" s="1518">
        <f t="shared" si="76"/>
        <v>83.433333333333337</v>
      </c>
      <c r="I420" s="1518">
        <f t="shared" si="76"/>
        <v>145.46238</v>
      </c>
      <c r="J420" s="1518">
        <f t="shared" si="76"/>
        <v>134.58833333333334</v>
      </c>
      <c r="K420" s="1518">
        <f t="shared" si="76"/>
        <v>31.67061666666666</v>
      </c>
      <c r="L420" s="1518">
        <f t="shared" si="76"/>
        <v>1.7971166666666667</v>
      </c>
      <c r="M420" s="1518">
        <f t="shared" si="76"/>
        <v>131.0085</v>
      </c>
      <c r="N420" s="1518">
        <f t="shared" si="76"/>
        <v>8.5583333333333327E-3</v>
      </c>
      <c r="O420" s="1518">
        <f t="shared" si="76"/>
        <v>1.3418333333333338E-2</v>
      </c>
      <c r="P420" s="1518">
        <f t="shared" si="76"/>
        <v>0.38400000000000006</v>
      </c>
      <c r="Q420" s="360"/>
      <c r="R420" s="9"/>
      <c r="V420" s="430"/>
      <c r="W420" s="1555"/>
      <c r="X420" s="430"/>
      <c r="Y420" s="430"/>
      <c r="Z420" s="430"/>
      <c r="AA420" s="430"/>
      <c r="AB420" s="430"/>
      <c r="AC420" s="430"/>
      <c r="AD420" s="430"/>
      <c r="AE420" s="430"/>
      <c r="AF420" s="430"/>
      <c r="AG420" s="430"/>
    </row>
    <row r="421" spans="2:33" ht="15.75" thickBot="1">
      <c r="B421" s="237"/>
      <c r="C421" s="1347" t="s">
        <v>727</v>
      </c>
      <c r="D421" s="1356" t="s">
        <v>280</v>
      </c>
      <c r="E421" s="1416">
        <f>(E420*100/E417)-10</f>
        <v>-0.97326190476190533</v>
      </c>
      <c r="F421" s="1370">
        <f>(F420*100/F417)-10</f>
        <v>-0.4404761904761898</v>
      </c>
      <c r="G421" s="1370">
        <f t="shared" ref="G421:O421" si="77">(G420*100/G417)-10</f>
        <v>-0.29895833333333321</v>
      </c>
      <c r="H421" s="1370">
        <f t="shared" si="77"/>
        <v>-0.72962962962962941</v>
      </c>
      <c r="I421" s="1370">
        <f t="shared" si="77"/>
        <v>2.1218649999999997</v>
      </c>
      <c r="J421" s="1370">
        <f t="shared" si="77"/>
        <v>1.2156944444444449</v>
      </c>
      <c r="K421" s="1370">
        <f t="shared" si="77"/>
        <v>0.55687222222221955</v>
      </c>
      <c r="L421" s="1370">
        <f t="shared" si="77"/>
        <v>-1.6018518518517766E-2</v>
      </c>
      <c r="M421" s="1370">
        <f t="shared" si="77"/>
        <v>0.91737499999999983</v>
      </c>
      <c r="N421" s="1370">
        <f t="shared" si="77"/>
        <v>-1.4416666666666682</v>
      </c>
      <c r="O421" s="1370">
        <f t="shared" si="77"/>
        <v>16.836666666666673</v>
      </c>
      <c r="P421" s="1371">
        <f>(P420*100/P417)-10</f>
        <v>-0.39999999999999858</v>
      </c>
      <c r="Q421" s="360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2:33" ht="15.75" thickBot="1">
      <c r="Q422" s="360"/>
      <c r="V422" s="19"/>
      <c r="W422" s="19"/>
      <c r="X422" s="19"/>
      <c r="Y422" s="783"/>
      <c r="Z422" s="850"/>
      <c r="AA422" s="1"/>
      <c r="AB422" s="32"/>
      <c r="AC422" s="1"/>
      <c r="AD422" s="1"/>
      <c r="AE422" s="1"/>
      <c r="AF422" s="1"/>
    </row>
    <row r="423" spans="2:33">
      <c r="B423" s="83" t="s">
        <v>738</v>
      </c>
      <c r="C423" s="58"/>
      <c r="D423" s="602"/>
      <c r="E423" s="1306" t="s">
        <v>701</v>
      </c>
      <c r="F423" s="1307"/>
      <c r="G423" s="1307"/>
      <c r="H423" s="1308"/>
      <c r="I423" s="1309" t="s">
        <v>730</v>
      </c>
      <c r="J423" s="31"/>
      <c r="K423" s="1310"/>
      <c r="L423" s="31"/>
      <c r="M423" s="31"/>
      <c r="N423" s="31"/>
      <c r="O423" s="31"/>
      <c r="P423" s="54"/>
      <c r="Q423" s="360"/>
      <c r="V423" s="787"/>
      <c r="W423" s="787"/>
      <c r="X423" s="787"/>
      <c r="Y423" s="431"/>
      <c r="Z423" s="431"/>
      <c r="AA423" s="431"/>
      <c r="AB423" s="431"/>
      <c r="AC423" s="431"/>
      <c r="AD423" s="3"/>
      <c r="AE423" s="3"/>
      <c r="AF423" s="3"/>
      <c r="AG423" s="3"/>
    </row>
    <row r="424" spans="2:33">
      <c r="B424" s="61"/>
      <c r="C424" s="1453" t="s">
        <v>760</v>
      </c>
      <c r="D424" s="605"/>
      <c r="E424" s="1312" t="s">
        <v>705</v>
      </c>
      <c r="F424" s="1313" t="s">
        <v>706</v>
      </c>
      <c r="G424" s="787" t="s">
        <v>707</v>
      </c>
      <c r="H424" s="1314" t="s">
        <v>708</v>
      </c>
      <c r="I424" s="1432" t="s">
        <v>709</v>
      </c>
      <c r="J424" s="1433" t="s">
        <v>710</v>
      </c>
      <c r="K424" s="1434" t="s">
        <v>711</v>
      </c>
      <c r="L424" s="1435" t="s">
        <v>712</v>
      </c>
      <c r="M424" s="1436" t="s">
        <v>713</v>
      </c>
      <c r="N424" s="1025" t="s">
        <v>714</v>
      </c>
      <c r="O424" s="1436" t="s">
        <v>715</v>
      </c>
      <c r="P424" s="1437" t="s">
        <v>716</v>
      </c>
      <c r="V424" s="1"/>
      <c r="W424" s="1"/>
      <c r="X424" s="1"/>
      <c r="Y424" s="1"/>
      <c r="Z424" s="119"/>
      <c r="AA424" s="119"/>
      <c r="AB424" s="2189"/>
      <c r="AC424" s="2189"/>
      <c r="AD424" s="2189"/>
      <c r="AE424" s="46"/>
      <c r="AF424" s="119"/>
      <c r="AG424" s="2189"/>
    </row>
    <row r="425" spans="2:33" ht="16.5" thickBot="1">
      <c r="B425" s="57"/>
      <c r="C425" s="803" t="s">
        <v>319</v>
      </c>
      <c r="D425" s="578"/>
      <c r="E425" s="56"/>
      <c r="F425" s="1378"/>
      <c r="H425" s="1378"/>
      <c r="I425" s="1379" t="s">
        <v>719</v>
      </c>
      <c r="J425" s="119" t="s">
        <v>720</v>
      </c>
      <c r="K425" s="1380" t="s">
        <v>721</v>
      </c>
      <c r="L425" s="1381" t="s">
        <v>722</v>
      </c>
      <c r="M425" s="1380" t="s">
        <v>723</v>
      </c>
      <c r="N425" s="46" t="s">
        <v>724</v>
      </c>
      <c r="O425" s="1382" t="s">
        <v>725</v>
      </c>
      <c r="P425" s="1383" t="s">
        <v>726</v>
      </c>
      <c r="V425" s="2190"/>
      <c r="W425" s="723"/>
      <c r="X425" s="723"/>
      <c r="Y425" s="724"/>
      <c r="Z425" s="795"/>
      <c r="AA425" s="795"/>
      <c r="AB425" s="795"/>
      <c r="AC425" s="795"/>
      <c r="AD425" s="795"/>
      <c r="AE425" s="795"/>
      <c r="AF425" s="795"/>
      <c r="AG425" s="795"/>
    </row>
    <row r="426" spans="2:33">
      <c r="B426" s="2370" t="s">
        <v>963</v>
      </c>
      <c r="C426" s="1007"/>
      <c r="D426" s="1008">
        <v>1</v>
      </c>
      <c r="E426" s="442">
        <v>70</v>
      </c>
      <c r="F426" s="59">
        <v>1.4</v>
      </c>
      <c r="G426" s="59">
        <v>1.6</v>
      </c>
      <c r="H426" s="60">
        <v>900</v>
      </c>
      <c r="I426" s="1442">
        <v>1200</v>
      </c>
      <c r="J426" s="1442">
        <v>1200</v>
      </c>
      <c r="K426" s="1442">
        <v>300</v>
      </c>
      <c r="L426" s="1442">
        <v>18</v>
      </c>
      <c r="M426" s="1442">
        <v>1200</v>
      </c>
      <c r="N426" s="1442">
        <v>0.1</v>
      </c>
      <c r="O426" s="1442">
        <v>0.05</v>
      </c>
      <c r="P426" s="1443">
        <v>4</v>
      </c>
      <c r="V426" s="725"/>
      <c r="W426" s="725"/>
      <c r="X426" s="725"/>
      <c r="Y426" s="725"/>
      <c r="Z426" s="725"/>
      <c r="AA426" s="725"/>
      <c r="AB426" s="725"/>
      <c r="AC426" s="725"/>
      <c r="AD426" s="725"/>
      <c r="AE426" s="725"/>
      <c r="AF426" s="725"/>
      <c r="AG426" s="725"/>
    </row>
    <row r="427" spans="2:33">
      <c r="B427" s="168"/>
      <c r="C427" s="150" t="s">
        <v>145</v>
      </c>
      <c r="D427" s="614"/>
      <c r="E427" s="769"/>
      <c r="F427" s="443"/>
      <c r="G427" s="443"/>
      <c r="H427" s="443"/>
      <c r="I427" s="443"/>
      <c r="J427" s="443"/>
      <c r="K427" s="443"/>
      <c r="L427" s="443"/>
      <c r="M427" s="443"/>
      <c r="N427" s="443"/>
      <c r="O427" s="443"/>
      <c r="P427" s="770"/>
      <c r="R427" s="9"/>
      <c r="V427" s="2197"/>
      <c r="W427" s="2197"/>
      <c r="X427" s="2197"/>
      <c r="Y427" s="2197"/>
      <c r="Z427" s="2198"/>
      <c r="AA427" s="2197"/>
      <c r="AB427" s="2197"/>
      <c r="AC427" s="2197"/>
      <c r="AD427" s="2197"/>
      <c r="AE427" s="2197"/>
      <c r="AF427" s="2197"/>
      <c r="AG427" s="2197"/>
    </row>
    <row r="428" spans="2:33">
      <c r="B428" s="1444" t="s">
        <v>512</v>
      </c>
      <c r="C428" s="616" t="s">
        <v>285</v>
      </c>
      <c r="D428" s="391">
        <v>0.6</v>
      </c>
      <c r="E428" s="1445">
        <v>42</v>
      </c>
      <c r="F428" s="1446">
        <v>0.84</v>
      </c>
      <c r="G428" s="1446">
        <v>0.96</v>
      </c>
      <c r="H428" s="1475">
        <v>540</v>
      </c>
      <c r="I428" s="1446">
        <v>720</v>
      </c>
      <c r="J428" s="1446">
        <v>720</v>
      </c>
      <c r="K428" s="1446">
        <v>180</v>
      </c>
      <c r="L428" s="1446">
        <v>10.8</v>
      </c>
      <c r="M428" s="1446">
        <v>720</v>
      </c>
      <c r="N428" s="1446">
        <v>0.06</v>
      </c>
      <c r="O428" s="1446">
        <v>0.03</v>
      </c>
      <c r="P428" s="1452">
        <v>2.4</v>
      </c>
      <c r="R428" s="9"/>
      <c r="V428" s="2192"/>
      <c r="W428" s="2192"/>
      <c r="X428" s="2192"/>
      <c r="Y428" s="2192"/>
      <c r="Z428" s="2192"/>
      <c r="AA428" s="2192"/>
      <c r="AB428" s="2192"/>
      <c r="AC428" s="2192"/>
      <c r="AD428" s="2192"/>
      <c r="AE428" s="2192"/>
      <c r="AF428" s="2192"/>
      <c r="AG428" s="2192"/>
    </row>
    <row r="429" spans="2:33" ht="15.75" thickBot="1">
      <c r="B429" s="1449"/>
      <c r="C429" s="621" t="s">
        <v>757</v>
      </c>
      <c r="D429" s="1451"/>
      <c r="E429" s="1518">
        <f t="shared" ref="E429:P429" si="78">(E100+E156+E212+E264+E317+E373)/6</f>
        <v>43.048099999999998</v>
      </c>
      <c r="F429" s="1518">
        <f t="shared" si="78"/>
        <v>0.85470000000000013</v>
      </c>
      <c r="G429" s="1518">
        <f t="shared" si="78"/>
        <v>0.98090000000000011</v>
      </c>
      <c r="H429" s="1518">
        <f t="shared" si="78"/>
        <v>556.02233333333334</v>
      </c>
      <c r="I429" s="1518">
        <f t="shared" si="78"/>
        <v>702.15913333333322</v>
      </c>
      <c r="J429" s="1518">
        <f t="shared" si="78"/>
        <v>722.15716666666674</v>
      </c>
      <c r="K429" s="1518">
        <f t="shared" si="78"/>
        <v>189.94933333333336</v>
      </c>
      <c r="L429" s="1518">
        <f t="shared" si="78"/>
        <v>10.735833333333334</v>
      </c>
      <c r="M429" s="1518">
        <f t="shared" si="78"/>
        <v>713.99783333333335</v>
      </c>
      <c r="N429" s="1518">
        <f t="shared" si="78"/>
        <v>5.5673333333333332E-2</v>
      </c>
      <c r="O429" s="1518">
        <f t="shared" si="78"/>
        <v>3.4081666666666663E-2</v>
      </c>
      <c r="P429" s="1518">
        <f t="shared" si="78"/>
        <v>2.4342333333333332</v>
      </c>
      <c r="R429" s="9"/>
      <c r="V429" s="430"/>
      <c r="W429" s="430"/>
      <c r="X429" s="430"/>
      <c r="Y429" s="147"/>
      <c r="Z429" s="147"/>
      <c r="AA429" s="430"/>
      <c r="AB429" s="430"/>
      <c r="AC429" s="430"/>
      <c r="AD429" s="430"/>
      <c r="AE429" s="430"/>
      <c r="AF429" s="430"/>
      <c r="AG429" s="430"/>
    </row>
    <row r="430" spans="2:33" ht="15.75" thickBot="1">
      <c r="B430" s="237"/>
      <c r="C430" s="1347" t="s">
        <v>727</v>
      </c>
      <c r="D430" s="1356" t="s">
        <v>280</v>
      </c>
      <c r="E430" s="2277">
        <f>(E429*100/E426)-60</f>
        <v>1.4972857142857094</v>
      </c>
      <c r="F430" s="2278">
        <f t="shared" ref="F430:P430" si="79">(F429*100/F426)-60</f>
        <v>1.0500000000000114</v>
      </c>
      <c r="G430" s="2278">
        <f t="shared" si="79"/>
        <v>1.3062499999999986</v>
      </c>
      <c r="H430" s="2278">
        <f t="shared" si="79"/>
        <v>1.7802592592592603</v>
      </c>
      <c r="I430" s="2278">
        <f t="shared" si="79"/>
        <v>-1.486738888888901</v>
      </c>
      <c r="J430" s="2278">
        <f t="shared" si="79"/>
        <v>0.17976388888889261</v>
      </c>
      <c r="K430" s="2278">
        <f t="shared" si="79"/>
        <v>3.3164444444444499</v>
      </c>
      <c r="L430" s="2278">
        <f t="shared" si="79"/>
        <v>-0.35648148148147385</v>
      </c>
      <c r="M430" s="2278">
        <f t="shared" si="79"/>
        <v>-0.50018055555555208</v>
      </c>
      <c r="N430" s="2278">
        <f t="shared" si="79"/>
        <v>-4.3266666666666751</v>
      </c>
      <c r="O430" s="2278">
        <f t="shared" si="79"/>
        <v>8.1633333333333269</v>
      </c>
      <c r="P430" s="2279">
        <f t="shared" si="79"/>
        <v>0.85583333333332945</v>
      </c>
      <c r="R430" s="9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2:33" ht="15.75" thickBot="1">
      <c r="Q431" s="360"/>
      <c r="R431" s="4"/>
      <c r="V431" s="19"/>
      <c r="W431" s="19"/>
      <c r="X431" s="19"/>
      <c r="Y431" s="783"/>
      <c r="Z431" s="850"/>
      <c r="AA431" s="1"/>
      <c r="AB431" s="32"/>
      <c r="AC431" s="1"/>
      <c r="AD431" s="1"/>
      <c r="AE431" s="1"/>
      <c r="AF431" s="1"/>
    </row>
    <row r="432" spans="2:33">
      <c r="B432" s="83" t="s">
        <v>738</v>
      </c>
      <c r="C432" s="58"/>
      <c r="D432" s="602"/>
      <c r="E432" s="1306" t="s">
        <v>701</v>
      </c>
      <c r="F432" s="1307"/>
      <c r="G432" s="1307"/>
      <c r="H432" s="1308"/>
      <c r="I432" s="1309" t="s">
        <v>730</v>
      </c>
      <c r="J432" s="31"/>
      <c r="K432" s="1310"/>
      <c r="L432" s="31"/>
      <c r="M432" s="31"/>
      <c r="N432" s="31"/>
      <c r="O432" s="31"/>
      <c r="P432" s="54"/>
      <c r="Q432" s="360"/>
      <c r="R432" s="433"/>
      <c r="V432" s="787"/>
      <c r="W432" s="787"/>
      <c r="X432" s="787"/>
      <c r="Y432" s="431"/>
      <c r="Z432" s="431"/>
      <c r="AA432" s="431"/>
      <c r="AB432" s="431"/>
      <c r="AC432" s="431"/>
      <c r="AD432" s="3"/>
      <c r="AE432" s="3"/>
      <c r="AF432" s="3"/>
      <c r="AG432" s="3"/>
    </row>
    <row r="433" spans="2:33">
      <c r="B433" s="61"/>
      <c r="C433" s="1454" t="s">
        <v>759</v>
      </c>
      <c r="D433" s="605"/>
      <c r="E433" s="1312" t="s">
        <v>705</v>
      </c>
      <c r="F433" s="1313" t="s">
        <v>706</v>
      </c>
      <c r="G433" s="787" t="s">
        <v>707</v>
      </c>
      <c r="H433" s="1314" t="s">
        <v>708</v>
      </c>
      <c r="I433" s="1432" t="s">
        <v>709</v>
      </c>
      <c r="J433" s="1433" t="s">
        <v>710</v>
      </c>
      <c r="K433" s="1434" t="s">
        <v>711</v>
      </c>
      <c r="L433" s="1435" t="s">
        <v>712</v>
      </c>
      <c r="M433" s="1436" t="s">
        <v>713</v>
      </c>
      <c r="N433" s="1025" t="s">
        <v>714</v>
      </c>
      <c r="O433" s="1436" t="s">
        <v>715</v>
      </c>
      <c r="P433" s="1437" t="s">
        <v>716</v>
      </c>
      <c r="Q433" s="360"/>
      <c r="R433" s="433"/>
      <c r="V433" s="1"/>
      <c r="W433" s="1"/>
      <c r="X433" s="1"/>
      <c r="Y433" s="1"/>
      <c r="Z433" s="119"/>
      <c r="AA433" s="119"/>
      <c r="AB433" s="2189"/>
      <c r="AC433" s="2189"/>
      <c r="AD433" s="2189"/>
      <c r="AE433" s="46"/>
      <c r="AF433" s="119"/>
      <c r="AG433" s="2189"/>
    </row>
    <row r="434" spans="2:33" ht="16.5" thickBot="1">
      <c r="B434" s="57"/>
      <c r="C434" s="803" t="s">
        <v>319</v>
      </c>
      <c r="D434" s="578"/>
      <c r="E434" s="56"/>
      <c r="F434" s="1378"/>
      <c r="H434" s="1378"/>
      <c r="I434" s="1379" t="s">
        <v>719</v>
      </c>
      <c r="J434" s="119" t="s">
        <v>720</v>
      </c>
      <c r="K434" s="1380" t="s">
        <v>721</v>
      </c>
      <c r="L434" s="1381" t="s">
        <v>722</v>
      </c>
      <c r="M434" s="1380" t="s">
        <v>723</v>
      </c>
      <c r="N434" s="46" t="s">
        <v>724</v>
      </c>
      <c r="O434" s="1382" t="s">
        <v>725</v>
      </c>
      <c r="P434" s="1383" t="s">
        <v>726</v>
      </c>
      <c r="Q434" s="360"/>
      <c r="R434" s="436"/>
      <c r="V434" s="2190"/>
      <c r="W434" s="723"/>
      <c r="X434" s="723"/>
      <c r="Y434" s="724"/>
      <c r="Z434" s="795"/>
      <c r="AA434" s="795"/>
      <c r="AB434" s="795"/>
      <c r="AC434" s="795"/>
      <c r="AD434" s="795"/>
      <c r="AE434" s="795"/>
      <c r="AF434" s="795"/>
      <c r="AG434" s="795"/>
    </row>
    <row r="435" spans="2:33">
      <c r="B435" s="2370" t="s">
        <v>963</v>
      </c>
      <c r="C435" s="1007"/>
      <c r="D435" s="1008">
        <v>1</v>
      </c>
      <c r="E435" s="442">
        <v>70</v>
      </c>
      <c r="F435" s="59">
        <v>1.4</v>
      </c>
      <c r="G435" s="59">
        <v>1.6</v>
      </c>
      <c r="H435" s="60">
        <v>900</v>
      </c>
      <c r="I435" s="1442">
        <v>1200</v>
      </c>
      <c r="J435" s="1442">
        <v>1200</v>
      </c>
      <c r="K435" s="1442">
        <v>300</v>
      </c>
      <c r="L435" s="1442">
        <v>18</v>
      </c>
      <c r="M435" s="1442">
        <v>1200</v>
      </c>
      <c r="N435" s="1442">
        <v>0.1</v>
      </c>
      <c r="O435" s="1442">
        <v>0.05</v>
      </c>
      <c r="P435" s="1443">
        <v>4</v>
      </c>
      <c r="Q435" s="360"/>
      <c r="V435" s="725"/>
      <c r="W435" s="725"/>
      <c r="X435" s="725"/>
      <c r="Y435" s="725"/>
      <c r="Z435" s="725"/>
      <c r="AA435" s="725"/>
      <c r="AB435" s="725"/>
      <c r="AC435" s="725"/>
      <c r="AD435" s="725"/>
      <c r="AE435" s="725"/>
      <c r="AF435" s="725"/>
      <c r="AG435" s="725"/>
    </row>
    <row r="436" spans="2:33">
      <c r="B436" s="168"/>
      <c r="C436" s="150" t="s">
        <v>145</v>
      </c>
      <c r="D436" s="614"/>
      <c r="E436" s="769"/>
      <c r="F436" s="443"/>
      <c r="G436" s="443"/>
      <c r="H436" s="443"/>
      <c r="I436" s="443"/>
      <c r="J436" s="443"/>
      <c r="K436" s="443"/>
      <c r="L436" s="443"/>
      <c r="M436" s="443"/>
      <c r="N436" s="443"/>
      <c r="O436" s="443"/>
      <c r="P436" s="770"/>
      <c r="Q436" s="360"/>
      <c r="V436" s="2197"/>
      <c r="W436" s="2197"/>
      <c r="X436" s="2197"/>
      <c r="Y436" s="2197"/>
      <c r="Z436" s="2198"/>
      <c r="AA436" s="2197"/>
      <c r="AB436" s="2197"/>
      <c r="AC436" s="2197"/>
      <c r="AD436" s="2197"/>
      <c r="AE436" s="726"/>
      <c r="AF436" s="2191"/>
      <c r="AG436" s="2197"/>
    </row>
    <row r="437" spans="2:33">
      <c r="B437" s="1455" t="s">
        <v>739</v>
      </c>
      <c r="C437" s="616" t="s">
        <v>473</v>
      </c>
      <c r="D437" s="391">
        <v>0.45</v>
      </c>
      <c r="E437" s="1445">
        <v>31.5</v>
      </c>
      <c r="F437" s="1446">
        <v>0.63</v>
      </c>
      <c r="G437" s="1446">
        <v>0.72</v>
      </c>
      <c r="H437" s="1475">
        <v>405</v>
      </c>
      <c r="I437" s="1446">
        <v>540</v>
      </c>
      <c r="J437" s="1446">
        <v>540</v>
      </c>
      <c r="K437" s="1446">
        <v>135</v>
      </c>
      <c r="L437" s="1446">
        <v>8.1</v>
      </c>
      <c r="M437" s="1446">
        <v>540</v>
      </c>
      <c r="N437" s="1446">
        <v>4.4999999999999998E-2</v>
      </c>
      <c r="O437" s="1446">
        <v>2.2499999999999999E-2</v>
      </c>
      <c r="P437" s="1452">
        <v>1.8</v>
      </c>
      <c r="Q437" s="360"/>
      <c r="V437" s="2192"/>
      <c r="W437" s="2192"/>
      <c r="X437" s="2192"/>
      <c r="Y437" s="2192"/>
      <c r="Z437" s="2192"/>
      <c r="AA437" s="2192"/>
      <c r="AB437" s="2192"/>
      <c r="AC437" s="2192"/>
      <c r="AD437" s="2192"/>
      <c r="AE437" s="2192"/>
      <c r="AF437" s="2192"/>
      <c r="AG437" s="2192"/>
    </row>
    <row r="438" spans="2:33" ht="15.75" thickBot="1">
      <c r="B438" s="1449"/>
      <c r="C438" s="621" t="s">
        <v>757</v>
      </c>
      <c r="D438" s="1451"/>
      <c r="E438" s="1518">
        <f t="shared" ref="E438:P438" si="80">(E103+E160+E215+E267+E321+E377)/6</f>
        <v>33.188650000000003</v>
      </c>
      <c r="F438" s="1518">
        <f t="shared" si="80"/>
        <v>0.65686666666666671</v>
      </c>
      <c r="G438" s="1518">
        <f t="shared" si="80"/>
        <v>0.75028333333333341</v>
      </c>
      <c r="H438" s="1518">
        <f t="shared" si="80"/>
        <v>422.84233333333333</v>
      </c>
      <c r="I438" s="1518">
        <f t="shared" si="80"/>
        <v>563.18487999999991</v>
      </c>
      <c r="J438" s="1518">
        <f t="shared" si="80"/>
        <v>564.57600000000002</v>
      </c>
      <c r="K438" s="1518">
        <f t="shared" si="80"/>
        <v>150.57478333333333</v>
      </c>
      <c r="L438" s="1518">
        <f t="shared" si="80"/>
        <v>8.0577833333333331</v>
      </c>
      <c r="M438" s="1518">
        <f t="shared" si="80"/>
        <v>552.1583333333333</v>
      </c>
      <c r="N438" s="1518">
        <f t="shared" si="80"/>
        <v>3.9281666666666666E-2</v>
      </c>
      <c r="O438" s="1518">
        <f t="shared" si="80"/>
        <v>3.1208333333333334E-2</v>
      </c>
      <c r="P438" s="1518">
        <f t="shared" si="80"/>
        <v>1.7985666666666669</v>
      </c>
      <c r="Q438" s="360"/>
      <c r="R438" s="18"/>
      <c r="V438" s="430"/>
      <c r="W438" s="430"/>
      <c r="X438" s="430"/>
      <c r="Y438" s="430"/>
      <c r="Z438" s="147"/>
      <c r="AA438" s="430"/>
      <c r="AB438" s="430"/>
      <c r="AC438" s="430"/>
      <c r="AD438" s="430"/>
      <c r="AE438" s="430"/>
      <c r="AF438" s="430"/>
      <c r="AG438" s="430"/>
    </row>
    <row r="439" spans="2:33" ht="15.75" thickBot="1">
      <c r="B439" s="237"/>
      <c r="C439" s="1347" t="s">
        <v>727</v>
      </c>
      <c r="D439" s="1356" t="s">
        <v>280</v>
      </c>
      <c r="E439" s="2277">
        <f>(E438*100/E435)-45</f>
        <v>2.4123571428571466</v>
      </c>
      <c r="F439" s="2278">
        <f t="shared" ref="F439:P439" si="81">(F438*100/F435)-45</f>
        <v>1.9190476190476247</v>
      </c>
      <c r="G439" s="2278">
        <f t="shared" si="81"/>
        <v>1.8927083333333314</v>
      </c>
      <c r="H439" s="2278">
        <f t="shared" si="81"/>
        <v>1.9824814814814786</v>
      </c>
      <c r="I439" s="2278">
        <f t="shared" si="81"/>
        <v>1.932073333333328</v>
      </c>
      <c r="J439" s="2278">
        <f t="shared" si="81"/>
        <v>2.0480000000000018</v>
      </c>
      <c r="K439" s="2278">
        <f t="shared" si="81"/>
        <v>5.1915944444444406</v>
      </c>
      <c r="L439" s="2278">
        <f t="shared" si="81"/>
        <v>-0.2345370370370361</v>
      </c>
      <c r="M439" s="2278">
        <f t="shared" si="81"/>
        <v>1.0131944444444372</v>
      </c>
      <c r="N439" s="2278">
        <f t="shared" si="81"/>
        <v>-5.7183333333333337</v>
      </c>
      <c r="O439" s="2278">
        <f t="shared" si="81"/>
        <v>17.416666666666671</v>
      </c>
      <c r="P439" s="2279">
        <f t="shared" si="81"/>
        <v>-3.5833333333329165E-2</v>
      </c>
      <c r="Q439" s="360"/>
      <c r="R439" s="9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2:33" ht="15.75" thickBot="1">
      <c r="B440" s="29"/>
      <c r="C440" s="29"/>
      <c r="D440" s="1127"/>
      <c r="E440" s="1127"/>
      <c r="F440" s="1127"/>
      <c r="G440" s="1127"/>
      <c r="H440" s="1127"/>
      <c r="I440" s="1127"/>
      <c r="J440" s="1127"/>
      <c r="K440" s="1127"/>
      <c r="L440" s="1127"/>
      <c r="M440" s="1127"/>
      <c r="N440" s="1127"/>
      <c r="O440" s="1127"/>
      <c r="P440" s="1127"/>
      <c r="Q440" s="360"/>
      <c r="R440" s="169"/>
      <c r="V440" s="19"/>
      <c r="W440" s="19"/>
      <c r="X440" s="19"/>
      <c r="Y440" s="783"/>
      <c r="Z440" s="850"/>
      <c r="AA440" s="1"/>
      <c r="AB440" s="32"/>
      <c r="AC440" s="1"/>
      <c r="AD440" s="1"/>
      <c r="AE440" s="1"/>
      <c r="AF440" s="1"/>
    </row>
    <row r="441" spans="2:33" ht="12.75" customHeight="1">
      <c r="B441" s="83" t="s">
        <v>738</v>
      </c>
      <c r="C441" s="58"/>
      <c r="D441" s="1456" t="s">
        <v>479</v>
      </c>
      <c r="E441" s="1306" t="s">
        <v>701</v>
      </c>
      <c r="F441" s="1307"/>
      <c r="G441" s="1307"/>
      <c r="H441" s="1308"/>
      <c r="I441" s="1309" t="s">
        <v>730</v>
      </c>
      <c r="J441" s="31"/>
      <c r="K441" s="1310"/>
      <c r="L441" s="31"/>
      <c r="M441" s="31"/>
      <c r="N441" s="31"/>
      <c r="O441" s="31"/>
      <c r="P441" s="54"/>
      <c r="Q441" s="360"/>
      <c r="R441" s="4"/>
      <c r="V441" s="787"/>
      <c r="W441" s="787"/>
      <c r="X441" s="787"/>
      <c r="Y441" s="431"/>
      <c r="Z441" s="431"/>
      <c r="AA441" s="431"/>
      <c r="AB441" s="431"/>
      <c r="AC441" s="431"/>
      <c r="AD441" s="3"/>
      <c r="AE441" s="3"/>
      <c r="AF441" s="3"/>
      <c r="AG441" s="3"/>
    </row>
    <row r="442" spans="2:33" ht="11.25" customHeight="1">
      <c r="B442" s="1457" t="s">
        <v>758</v>
      </c>
      <c r="D442" s="605"/>
      <c r="E442" s="1312" t="s">
        <v>705</v>
      </c>
      <c r="F442" s="1313" t="s">
        <v>706</v>
      </c>
      <c r="G442" s="787" t="s">
        <v>707</v>
      </c>
      <c r="H442" s="1314" t="s">
        <v>708</v>
      </c>
      <c r="I442" s="1432" t="s">
        <v>709</v>
      </c>
      <c r="J442" s="1433" t="s">
        <v>710</v>
      </c>
      <c r="K442" s="1434" t="s">
        <v>711</v>
      </c>
      <c r="L442" s="1435" t="s">
        <v>712</v>
      </c>
      <c r="M442" s="1436" t="s">
        <v>713</v>
      </c>
      <c r="N442" s="1025" t="s">
        <v>714</v>
      </c>
      <c r="O442" s="1436" t="s">
        <v>715</v>
      </c>
      <c r="P442" s="1437" t="s">
        <v>716</v>
      </c>
      <c r="Q442" s="360"/>
      <c r="R442" s="4"/>
      <c r="V442" s="1"/>
      <c r="W442" s="1"/>
      <c r="X442" s="1"/>
      <c r="Y442" s="1"/>
      <c r="Z442" s="119"/>
      <c r="AA442" s="119"/>
      <c r="AB442" s="2189"/>
      <c r="AC442" s="2189"/>
      <c r="AD442" s="2189"/>
      <c r="AE442" s="46"/>
      <c r="AF442" s="119"/>
      <c r="AG442" s="2189"/>
    </row>
    <row r="443" spans="2:33" ht="11.25" customHeight="1" thickBot="1">
      <c r="B443" s="57"/>
      <c r="C443" s="803" t="s">
        <v>478</v>
      </c>
      <c r="D443" s="578"/>
      <c r="E443" s="56"/>
      <c r="F443" s="1378"/>
      <c r="H443" s="1378"/>
      <c r="I443" s="1379" t="s">
        <v>719</v>
      </c>
      <c r="J443" s="119" t="s">
        <v>720</v>
      </c>
      <c r="K443" s="1380" t="s">
        <v>721</v>
      </c>
      <c r="L443" s="1381" t="s">
        <v>722</v>
      </c>
      <c r="M443" s="1380" t="s">
        <v>723</v>
      </c>
      <c r="N443" s="46" t="s">
        <v>724</v>
      </c>
      <c r="O443" s="1382" t="s">
        <v>725</v>
      </c>
      <c r="P443" s="1383" t="s">
        <v>726</v>
      </c>
      <c r="Q443" s="360"/>
      <c r="R443" s="4"/>
      <c r="V443" s="2190"/>
      <c r="W443" s="723"/>
      <c r="X443" s="723"/>
      <c r="Y443" s="724"/>
      <c r="Z443" s="795"/>
      <c r="AA443" s="795"/>
      <c r="AB443" s="795"/>
      <c r="AC443" s="795"/>
      <c r="AD443" s="795"/>
      <c r="AE443" s="795"/>
      <c r="AF443" s="795"/>
      <c r="AG443" s="795"/>
    </row>
    <row r="444" spans="2:33">
      <c r="B444" s="2370" t="s">
        <v>963</v>
      </c>
      <c r="C444" s="1007"/>
      <c r="D444" s="1008">
        <v>1</v>
      </c>
      <c r="E444" s="442">
        <v>70</v>
      </c>
      <c r="F444" s="59">
        <v>1.4</v>
      </c>
      <c r="G444" s="59">
        <v>1.6</v>
      </c>
      <c r="H444" s="60">
        <v>900</v>
      </c>
      <c r="I444" s="1442">
        <v>1200</v>
      </c>
      <c r="J444" s="1442">
        <v>1200</v>
      </c>
      <c r="K444" s="1442">
        <v>300</v>
      </c>
      <c r="L444" s="1442">
        <v>18</v>
      </c>
      <c r="M444" s="1442">
        <v>1200</v>
      </c>
      <c r="N444" s="1442">
        <v>0.1</v>
      </c>
      <c r="O444" s="1442">
        <v>0.05</v>
      </c>
      <c r="P444" s="1443">
        <v>4</v>
      </c>
      <c r="Q444" s="360"/>
      <c r="R444" s="4"/>
      <c r="V444" s="725"/>
      <c r="W444" s="725"/>
      <c r="X444" s="725"/>
      <c r="Y444" s="725"/>
      <c r="Z444" s="725"/>
      <c r="AA444" s="725"/>
      <c r="AB444" s="725"/>
      <c r="AC444" s="725"/>
      <c r="AD444" s="725"/>
      <c r="AE444" s="725"/>
      <c r="AF444" s="725"/>
      <c r="AG444" s="725"/>
    </row>
    <row r="445" spans="2:33" ht="11.25" customHeight="1">
      <c r="B445" s="168"/>
      <c r="C445" s="150" t="s">
        <v>145</v>
      </c>
      <c r="D445" s="614"/>
      <c r="E445" s="769"/>
      <c r="F445" s="443"/>
      <c r="G445" s="443"/>
      <c r="H445" s="443"/>
      <c r="I445" s="443"/>
      <c r="J445" s="443"/>
      <c r="K445" s="443"/>
      <c r="L445" s="443"/>
      <c r="M445" s="443"/>
      <c r="N445" s="443"/>
      <c r="O445" s="443"/>
      <c r="P445" s="770"/>
      <c r="Q445" s="360"/>
      <c r="R445" s="4"/>
      <c r="V445" s="2197"/>
      <c r="W445" s="2197"/>
      <c r="X445" s="2197"/>
      <c r="Y445" s="2197"/>
      <c r="Z445" s="2198"/>
      <c r="AA445" s="2197"/>
      <c r="AB445" s="2197"/>
      <c r="AC445" s="2197"/>
      <c r="AD445" s="2197"/>
      <c r="AE445" s="2197"/>
      <c r="AF445" s="726"/>
      <c r="AG445" s="2197"/>
    </row>
    <row r="446" spans="2:33">
      <c r="B446" s="1455" t="s">
        <v>739</v>
      </c>
      <c r="C446" s="1458" t="s">
        <v>474</v>
      </c>
      <c r="D446" s="1012">
        <v>0.7</v>
      </c>
      <c r="E446" s="1476">
        <v>49</v>
      </c>
      <c r="F446" s="1458">
        <v>0.98</v>
      </c>
      <c r="G446" s="1458">
        <v>1.1200000000000001</v>
      </c>
      <c r="H446" s="1477">
        <v>630</v>
      </c>
      <c r="I446" s="1458">
        <v>840</v>
      </c>
      <c r="J446" s="1458">
        <v>840</v>
      </c>
      <c r="K446" s="1458">
        <v>210</v>
      </c>
      <c r="L446" s="1458">
        <v>12.6</v>
      </c>
      <c r="M446" s="1458">
        <v>840</v>
      </c>
      <c r="N446" s="1458">
        <v>7.0000000000000007E-2</v>
      </c>
      <c r="O446" s="1458">
        <v>3.5000000000000003E-2</v>
      </c>
      <c r="P446" s="1478">
        <v>2.8</v>
      </c>
      <c r="Q446" s="360"/>
      <c r="R446" s="4"/>
      <c r="V446" s="2192"/>
      <c r="W446" s="2192"/>
      <c r="X446" s="2192"/>
      <c r="Y446" s="2192"/>
      <c r="Z446" s="2192"/>
      <c r="AA446" s="2192"/>
      <c r="AB446" s="2192"/>
      <c r="AC446" s="2192"/>
      <c r="AD446" s="2192"/>
      <c r="AE446" s="2192"/>
      <c r="AF446" s="2192"/>
      <c r="AG446" s="2192"/>
    </row>
    <row r="447" spans="2:33" ht="15.75" thickBot="1">
      <c r="B447" s="1449"/>
      <c r="C447" s="621" t="s">
        <v>757</v>
      </c>
      <c r="D447" s="1451"/>
      <c r="E447" s="2280">
        <f t="shared" ref="E447:P447" si="82">(E107+E164+E218+E271+E325+E381)/6</f>
        <v>49.366816666666672</v>
      </c>
      <c r="F447" s="2280">
        <f t="shared" si="82"/>
        <v>0.98853333333333337</v>
      </c>
      <c r="G447" s="2280">
        <f t="shared" si="82"/>
        <v>1.1361166666666669</v>
      </c>
      <c r="H447" s="2280">
        <f t="shared" si="82"/>
        <v>639.45566666666662</v>
      </c>
      <c r="I447" s="2280">
        <f t="shared" si="82"/>
        <v>847.62151333333338</v>
      </c>
      <c r="J447" s="2280">
        <f t="shared" si="82"/>
        <v>856.74549999999999</v>
      </c>
      <c r="K447" s="2280">
        <f t="shared" si="82"/>
        <v>221.61995000000002</v>
      </c>
      <c r="L447" s="2280">
        <f t="shared" si="82"/>
        <v>12.53295</v>
      </c>
      <c r="M447" s="2280">
        <f t="shared" si="82"/>
        <v>845.00633333333326</v>
      </c>
      <c r="N447" s="2280">
        <f t="shared" si="82"/>
        <v>6.4231666666666673E-2</v>
      </c>
      <c r="O447" s="2280">
        <f t="shared" si="82"/>
        <v>4.7500000000000007E-2</v>
      </c>
      <c r="P447" s="2280">
        <f t="shared" si="82"/>
        <v>2.8182333333333336</v>
      </c>
      <c r="Q447" s="360"/>
      <c r="V447" s="430"/>
      <c r="W447" s="430"/>
      <c r="X447" s="430"/>
      <c r="Y447" s="430"/>
      <c r="Z447" s="147"/>
      <c r="AA447" s="430"/>
      <c r="AB447" s="430"/>
      <c r="AC447" s="430"/>
      <c r="AD447" s="430"/>
      <c r="AE447" s="430"/>
      <c r="AF447" s="430"/>
      <c r="AG447" s="430"/>
    </row>
    <row r="448" spans="2:33" ht="15.75" thickBot="1">
      <c r="B448" s="237"/>
      <c r="C448" s="1347" t="s">
        <v>727</v>
      </c>
      <c r="D448" s="1356" t="s">
        <v>280</v>
      </c>
      <c r="E448" s="1416">
        <f>(E447*100/E444)-70</f>
        <v>0.52402380952382543</v>
      </c>
      <c r="F448" s="1370">
        <f t="shared" ref="F448:O448" si="83">(F447*100/F444)-70</f>
        <v>0.60952380952382157</v>
      </c>
      <c r="G448" s="1370">
        <f t="shared" si="83"/>
        <v>1.0072916666666742</v>
      </c>
      <c r="H448" s="1370">
        <f t="shared" si="83"/>
        <v>1.0506296296296256</v>
      </c>
      <c r="I448" s="1370">
        <f t="shared" si="83"/>
        <v>0.63512611111111994</v>
      </c>
      <c r="J448" s="1370">
        <f t="shared" si="83"/>
        <v>1.3954583333333375</v>
      </c>
      <c r="K448" s="1370">
        <f t="shared" si="83"/>
        <v>3.8733166666666818</v>
      </c>
      <c r="L448" s="1370">
        <f t="shared" si="83"/>
        <v>-0.37250000000000227</v>
      </c>
      <c r="M448" s="1370">
        <f t="shared" si="83"/>
        <v>0.41719444444444775</v>
      </c>
      <c r="N448" s="1370">
        <f t="shared" si="83"/>
        <v>-5.7683333333333309</v>
      </c>
      <c r="O448" s="1370">
        <f t="shared" si="83"/>
        <v>25.000000000000014</v>
      </c>
      <c r="P448" s="1371">
        <f>(P447*100/P444)-70</f>
        <v>0.45583333333334508</v>
      </c>
      <c r="Q448" s="360"/>
    </row>
    <row r="449" spans="2:24">
      <c r="Q449" s="360"/>
      <c r="R449" s="169"/>
    </row>
    <row r="450" spans="2:24">
      <c r="P450"/>
      <c r="Q450" s="360"/>
      <c r="R450" s="4"/>
    </row>
    <row r="451" spans="2:24">
      <c r="C451" s="1300" t="s">
        <v>695</v>
      </c>
      <c r="D451"/>
      <c r="E451" s="32"/>
      <c r="K451" s="385"/>
      <c r="P451"/>
      <c r="Q451" s="360"/>
      <c r="R451" s="62"/>
    </row>
    <row r="452" spans="2:24">
      <c r="C452" s="7" t="s">
        <v>754</v>
      </c>
      <c r="D452" s="8"/>
      <c r="E452" s="2"/>
      <c r="K452"/>
      <c r="P452"/>
      <c r="Q452" s="360"/>
      <c r="R452" s="4"/>
    </row>
    <row r="453" spans="2:24">
      <c r="C453" s="1" t="s">
        <v>359</v>
      </c>
      <c r="D453"/>
      <c r="E453"/>
      <c r="F453"/>
      <c r="K453" s="63"/>
      <c r="P453"/>
      <c r="Q453" s="360"/>
      <c r="R453" s="4"/>
    </row>
    <row r="454" spans="2:24">
      <c r="C454" s="19" t="s">
        <v>282</v>
      </c>
      <c r="E454"/>
      <c r="F454"/>
      <c r="G454" s="19"/>
      <c r="H454" s="19"/>
      <c r="K454" s="119"/>
      <c r="P454"/>
      <c r="Q454" s="360"/>
      <c r="R454" s="4"/>
    </row>
    <row r="455" spans="2:24" ht="15.75">
      <c r="C455" s="1300" t="s">
        <v>694</v>
      </c>
      <c r="D455"/>
      <c r="J455" s="20" t="s">
        <v>0</v>
      </c>
      <c r="K455"/>
      <c r="L455" s="2" t="s">
        <v>317</v>
      </c>
      <c r="M455" s="13"/>
      <c r="N455" s="13"/>
      <c r="O455" s="24"/>
      <c r="Q455" s="360"/>
      <c r="R455" s="4"/>
    </row>
    <row r="456" spans="2:24" ht="21">
      <c r="B456" s="43" t="s">
        <v>698</v>
      </c>
      <c r="E456"/>
      <c r="F456"/>
      <c r="G456" s="23" t="s">
        <v>364</v>
      </c>
      <c r="H456" s="19"/>
      <c r="K456" s="32"/>
      <c r="P456"/>
      <c r="Q456" s="360"/>
      <c r="R456" s="433"/>
    </row>
    <row r="457" spans="2:24">
      <c r="C457" s="94" t="s">
        <v>742</v>
      </c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60"/>
      <c r="R457" s="433"/>
    </row>
    <row r="458" spans="2:24" ht="15.75" thickBot="1">
      <c r="E458" s="204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436"/>
    </row>
    <row r="459" spans="2:24" ht="15.75" thickBot="1">
      <c r="B459" s="1304" t="s">
        <v>700</v>
      </c>
      <c r="C459" s="99"/>
      <c r="D459" s="1376" t="s">
        <v>251</v>
      </c>
      <c r="E459" s="1306" t="s">
        <v>701</v>
      </c>
      <c r="F459" s="1307"/>
      <c r="G459" s="1307"/>
      <c r="H459" s="1308"/>
      <c r="I459" s="1309" t="s">
        <v>730</v>
      </c>
      <c r="J459" s="31"/>
      <c r="K459" s="1310"/>
      <c r="L459" s="31"/>
      <c r="M459" s="31"/>
      <c r="N459" s="31"/>
      <c r="O459" s="31"/>
      <c r="P459" s="54"/>
      <c r="Q459" s="1304" t="s">
        <v>703</v>
      </c>
    </row>
    <row r="460" spans="2:24">
      <c r="B460" s="535" t="s">
        <v>704</v>
      </c>
      <c r="C460" s="530" t="s">
        <v>257</v>
      </c>
      <c r="D460" s="1377" t="s">
        <v>258</v>
      </c>
      <c r="E460" s="1312" t="s">
        <v>705</v>
      </c>
      <c r="F460" s="1313" t="s">
        <v>706</v>
      </c>
      <c r="G460" s="787" t="s">
        <v>707</v>
      </c>
      <c r="H460" s="1314" t="s">
        <v>708</v>
      </c>
      <c r="I460" s="1315" t="s">
        <v>709</v>
      </c>
      <c r="J460" s="1316" t="s">
        <v>710</v>
      </c>
      <c r="K460" s="1317" t="s">
        <v>711</v>
      </c>
      <c r="L460" s="1318" t="s">
        <v>712</v>
      </c>
      <c r="M460" s="1319" t="s">
        <v>713</v>
      </c>
      <c r="N460" s="835" t="s">
        <v>714</v>
      </c>
      <c r="O460" s="1319" t="s">
        <v>715</v>
      </c>
      <c r="P460" s="1320" t="s">
        <v>716</v>
      </c>
      <c r="Q460" s="1321" t="s">
        <v>717</v>
      </c>
    </row>
    <row r="461" spans="2:24" ht="15.75" thickBot="1">
      <c r="B461" s="541" t="s">
        <v>718</v>
      </c>
      <c r="C461" s="579"/>
      <c r="D461" s="537"/>
      <c r="E461" s="56"/>
      <c r="F461" s="1378"/>
      <c r="H461" s="1378"/>
      <c r="I461" s="1379" t="s">
        <v>719</v>
      </c>
      <c r="J461" s="119" t="s">
        <v>720</v>
      </c>
      <c r="K461" s="1380" t="s">
        <v>721</v>
      </c>
      <c r="L461" s="1381" t="s">
        <v>722</v>
      </c>
      <c r="M461" s="1380" t="s">
        <v>723</v>
      </c>
      <c r="N461" s="46" t="s">
        <v>724</v>
      </c>
      <c r="O461" s="1382" t="s">
        <v>725</v>
      </c>
      <c r="P461" s="1383" t="s">
        <v>726</v>
      </c>
      <c r="Q461" s="1330" t="s">
        <v>490</v>
      </c>
      <c r="R461" s="171"/>
    </row>
    <row r="462" spans="2:24">
      <c r="B462" s="99"/>
      <c r="C462" s="774" t="s">
        <v>199</v>
      </c>
      <c r="D462" s="543"/>
      <c r="E462" s="1331"/>
      <c r="F462" s="545"/>
      <c r="G462" s="545"/>
      <c r="H462" s="1412"/>
      <c r="I462" s="1333"/>
      <c r="J462" s="1333"/>
      <c r="K462" s="1459"/>
      <c r="L462" s="1333"/>
      <c r="M462" s="1333"/>
      <c r="N462" s="1333"/>
      <c r="O462" s="1333"/>
      <c r="P462" s="1335"/>
      <c r="Q462" s="1413"/>
      <c r="R462" s="19"/>
      <c r="V462" s="44"/>
      <c r="W462" s="44"/>
      <c r="X462" s="789"/>
    </row>
    <row r="463" spans="2:24">
      <c r="B463" s="1350" t="s">
        <v>645</v>
      </c>
      <c r="C463" s="560" t="s">
        <v>375</v>
      </c>
      <c r="D463" s="561">
        <v>60</v>
      </c>
      <c r="E463" s="2392">
        <v>15</v>
      </c>
      <c r="F463" s="380">
        <v>0.04</v>
      </c>
      <c r="G463" s="380">
        <v>0.02</v>
      </c>
      <c r="H463" s="1384">
        <v>79.8</v>
      </c>
      <c r="I463" s="2394">
        <v>8.4</v>
      </c>
      <c r="J463" s="2394">
        <v>16</v>
      </c>
      <c r="K463" s="2394">
        <v>12</v>
      </c>
      <c r="L463" s="2394">
        <v>0.54</v>
      </c>
      <c r="M463" s="1359">
        <v>74</v>
      </c>
      <c r="N463" s="2416">
        <v>0.02</v>
      </c>
      <c r="O463" s="1359">
        <v>2.3999999999999998E-3</v>
      </c>
      <c r="P463" s="1359">
        <v>0.12</v>
      </c>
      <c r="Q463" s="557">
        <v>2</v>
      </c>
      <c r="V463" s="430"/>
      <c r="W463" s="430"/>
      <c r="X463" s="789"/>
    </row>
    <row r="464" spans="2:24">
      <c r="B464" s="1351" t="s">
        <v>796</v>
      </c>
      <c r="C464" s="595" t="s">
        <v>522</v>
      </c>
      <c r="D464" s="551" t="s">
        <v>1025</v>
      </c>
      <c r="E464" s="1276">
        <v>0</v>
      </c>
      <c r="F464" s="1294">
        <v>0.14699999999999999</v>
      </c>
      <c r="G464" s="2400">
        <v>0.189</v>
      </c>
      <c r="H464" s="1298">
        <v>148.16999999999999</v>
      </c>
      <c r="I464" s="1359">
        <v>9.25</v>
      </c>
      <c r="J464" s="1359">
        <v>18.63</v>
      </c>
      <c r="K464" s="1359">
        <v>2.69</v>
      </c>
      <c r="L464" s="1359">
        <v>1.63</v>
      </c>
      <c r="M464" s="1359">
        <v>25.91</v>
      </c>
      <c r="N464" s="2401">
        <v>0</v>
      </c>
      <c r="O464" s="1359">
        <v>8.9999999999999993E-3</v>
      </c>
      <c r="P464" s="2393">
        <v>0.78300000000000003</v>
      </c>
      <c r="Q464" s="598">
        <v>48</v>
      </c>
      <c r="V464" s="153"/>
      <c r="W464" s="153"/>
      <c r="X464" s="789"/>
    </row>
    <row r="465" spans="2:26">
      <c r="B465" s="2594" t="s">
        <v>523</v>
      </c>
      <c r="C465" s="986" t="s">
        <v>525</v>
      </c>
      <c r="D465" s="2314"/>
      <c r="E465" s="1276">
        <v>0.18</v>
      </c>
      <c r="F465" s="1294">
        <v>0.02</v>
      </c>
      <c r="G465" s="2400">
        <v>0.02</v>
      </c>
      <c r="H465" s="1298">
        <v>84.14</v>
      </c>
      <c r="I465" s="1359">
        <v>10.5</v>
      </c>
      <c r="J465" s="1359">
        <v>19.95</v>
      </c>
      <c r="K465" s="1359">
        <v>2.87</v>
      </c>
      <c r="L465" s="1359">
        <v>0.28000000000000003</v>
      </c>
      <c r="M465" s="1359">
        <v>4.53</v>
      </c>
      <c r="N465" s="2401">
        <v>0</v>
      </c>
      <c r="O465" s="1359">
        <v>0</v>
      </c>
      <c r="P465" s="2393">
        <v>0</v>
      </c>
      <c r="Q465" s="1096"/>
      <c r="V465" s="44"/>
      <c r="W465" s="44"/>
      <c r="X465" s="789"/>
    </row>
    <row r="466" spans="2:26" ht="15" customHeight="1">
      <c r="B466" s="1351" t="s">
        <v>807</v>
      </c>
      <c r="C466" s="556" t="s">
        <v>339</v>
      </c>
      <c r="D466" s="561">
        <v>200</v>
      </c>
      <c r="E466" s="2392">
        <v>1.04</v>
      </c>
      <c r="F466" s="380">
        <v>0.06</v>
      </c>
      <c r="G466" s="380">
        <v>0.25</v>
      </c>
      <c r="H466" s="1384">
        <v>26.49</v>
      </c>
      <c r="I466" s="2401">
        <v>217.65799999999999</v>
      </c>
      <c r="J466" s="1359">
        <v>184</v>
      </c>
      <c r="K466" s="1359">
        <v>42</v>
      </c>
      <c r="L466" s="1359">
        <v>1.18</v>
      </c>
      <c r="M466" s="1359">
        <v>146.77099999999999</v>
      </c>
      <c r="N466" s="1359">
        <v>1.9E-3</v>
      </c>
      <c r="O466" s="1359">
        <v>3.2000000000000002E-3</v>
      </c>
      <c r="P466" s="2393">
        <v>0.23300000000000001</v>
      </c>
      <c r="Q466" s="572">
        <v>88</v>
      </c>
      <c r="V466" s="44"/>
      <c r="W466" s="44"/>
      <c r="X466" s="805"/>
    </row>
    <row r="467" spans="2:26">
      <c r="B467" s="1272" t="s">
        <v>10</v>
      </c>
      <c r="C467" s="560" t="s">
        <v>11</v>
      </c>
      <c r="D467" s="561">
        <v>50</v>
      </c>
      <c r="E467" s="2392">
        <v>0.1</v>
      </c>
      <c r="F467" s="380">
        <v>0.02</v>
      </c>
      <c r="G467" s="380">
        <v>1.7000000000000001E-2</v>
      </c>
      <c r="H467" s="1298">
        <v>0</v>
      </c>
      <c r="I467" s="1294">
        <v>79.166700000000006</v>
      </c>
      <c r="J467" s="1294">
        <v>64.5</v>
      </c>
      <c r="K467" s="1294">
        <v>20.5</v>
      </c>
      <c r="L467" s="1294">
        <v>0.05</v>
      </c>
      <c r="M467" s="2520">
        <v>37.167000000000002</v>
      </c>
      <c r="N467" s="1294">
        <v>0</v>
      </c>
      <c r="O467" s="1294">
        <v>0</v>
      </c>
      <c r="P467" s="1294">
        <v>0</v>
      </c>
      <c r="Q467" s="557">
        <v>11</v>
      </c>
      <c r="R467" s="9"/>
      <c r="V467" s="44"/>
      <c r="W467" s="44"/>
      <c r="X467" s="805"/>
    </row>
    <row r="468" spans="2:26">
      <c r="B468" s="1351" t="s">
        <v>10</v>
      </c>
      <c r="C468" s="595" t="s">
        <v>792</v>
      </c>
      <c r="D468" s="551">
        <v>30</v>
      </c>
      <c r="E468" s="2402">
        <v>0</v>
      </c>
      <c r="F468" s="381">
        <v>0.06</v>
      </c>
      <c r="G468" s="381">
        <v>0</v>
      </c>
      <c r="H468" s="1465">
        <v>0</v>
      </c>
      <c r="I468" s="1294">
        <v>24.9</v>
      </c>
      <c r="J468" s="1294">
        <v>58.2</v>
      </c>
      <c r="K468" s="381">
        <v>17.100000000000001</v>
      </c>
      <c r="L468" s="1294">
        <v>0.03</v>
      </c>
      <c r="M468" s="1294">
        <v>43.2</v>
      </c>
      <c r="N468" s="1294">
        <v>8.9999999999999998E-4</v>
      </c>
      <c r="O468" s="1294">
        <v>0</v>
      </c>
      <c r="P468" s="2417">
        <v>0</v>
      </c>
      <c r="Q468" s="589">
        <v>12</v>
      </c>
      <c r="R468" s="66"/>
      <c r="V468" s="152"/>
      <c r="W468" s="44"/>
      <c r="X468" s="789"/>
    </row>
    <row r="469" spans="2:26" ht="15.75" thickBot="1">
      <c r="B469" s="1530" t="s">
        <v>1004</v>
      </c>
      <c r="C469" s="195" t="s">
        <v>1014</v>
      </c>
      <c r="D469" s="574">
        <v>105</v>
      </c>
      <c r="E469" s="2421">
        <v>10.5</v>
      </c>
      <c r="F469" s="586">
        <v>4.2000000000000003E-2</v>
      </c>
      <c r="G469" s="586">
        <v>5.2499999999999998E-2</v>
      </c>
      <c r="H469" s="2457">
        <v>21</v>
      </c>
      <c r="I469" s="1359">
        <v>8.4</v>
      </c>
      <c r="J469" s="1359">
        <v>29.4</v>
      </c>
      <c r="K469" s="1359">
        <v>8.0180000000000007</v>
      </c>
      <c r="L469" s="1359">
        <v>1.28</v>
      </c>
      <c r="M469" s="1359">
        <v>55.56</v>
      </c>
      <c r="N469" s="1359">
        <v>1E-3</v>
      </c>
      <c r="O469" s="1359">
        <v>0</v>
      </c>
      <c r="P469" s="2412">
        <v>0.28699999999999998</v>
      </c>
      <c r="Q469" s="767">
        <v>74</v>
      </c>
      <c r="R469" s="9"/>
      <c r="V469" s="792"/>
      <c r="W469" s="793"/>
      <c r="X469" s="2310"/>
      <c r="Y469" s="210"/>
      <c r="Z469" s="22"/>
    </row>
    <row r="470" spans="2:26">
      <c r="B470" s="1404" t="s">
        <v>283</v>
      </c>
      <c r="C470" s="168"/>
      <c r="D470" s="2302">
        <f>D463+D466+D467+D468+D469+165+35</f>
        <v>645</v>
      </c>
      <c r="E470" s="566">
        <f t="shared" ref="E470:P470" si="84">SUM(E463:E469)</f>
        <v>26.82</v>
      </c>
      <c r="F470" s="1353">
        <f t="shared" si="84"/>
        <v>0.38900000000000001</v>
      </c>
      <c r="G470" s="1353">
        <f t="shared" si="84"/>
        <v>0.54849999999999999</v>
      </c>
      <c r="H470" s="1353">
        <f t="shared" si="84"/>
        <v>359.59999999999997</v>
      </c>
      <c r="I470" s="1353">
        <f t="shared" si="84"/>
        <v>358.27469999999994</v>
      </c>
      <c r="J470" s="1353">
        <f>SUM(J463:J469)</f>
        <v>390.67999999999995</v>
      </c>
      <c r="K470" s="1353">
        <f t="shared" si="84"/>
        <v>105.178</v>
      </c>
      <c r="L470" s="1353">
        <f t="shared" si="84"/>
        <v>4.9899999999999993</v>
      </c>
      <c r="M470" s="1353">
        <f t="shared" si="84"/>
        <v>387.13799999999998</v>
      </c>
      <c r="N470" s="1353">
        <f t="shared" si="84"/>
        <v>2.3800000000000002E-2</v>
      </c>
      <c r="O470" s="1353">
        <f t="shared" si="84"/>
        <v>1.4599999999999998E-2</v>
      </c>
      <c r="P470" s="1389">
        <f t="shared" si="84"/>
        <v>1.423</v>
      </c>
      <c r="Q470" s="1358"/>
      <c r="R470" s="4"/>
      <c r="V470" s="1289"/>
      <c r="W470" s="1289"/>
      <c r="X470" s="1289"/>
      <c r="Y470" s="1029"/>
      <c r="Z470" s="1"/>
    </row>
    <row r="471" spans="2:26">
      <c r="B471" s="513"/>
      <c r="C471" s="794" t="s">
        <v>12</v>
      </c>
      <c r="D471" s="2291">
        <v>0.25</v>
      </c>
      <c r="E471" s="1398">
        <v>17.5</v>
      </c>
      <c r="F471" s="2413">
        <v>0.35</v>
      </c>
      <c r="G471" s="1399">
        <v>0.4</v>
      </c>
      <c r="H471" s="1345">
        <v>225</v>
      </c>
      <c r="I471" s="2413">
        <v>300</v>
      </c>
      <c r="J471" s="1399">
        <v>300</v>
      </c>
      <c r="K471" s="1345">
        <v>75</v>
      </c>
      <c r="L471" s="2413">
        <v>4.5</v>
      </c>
      <c r="M471" s="1346">
        <v>300</v>
      </c>
      <c r="N471" s="2413">
        <v>2.5000000000000001E-2</v>
      </c>
      <c r="O471" s="1399">
        <v>1.2500000000000001E-2</v>
      </c>
      <c r="P471" s="1460">
        <v>1</v>
      </c>
      <c r="Q471" s="1358"/>
      <c r="V471" s="1"/>
      <c r="W471" s="1"/>
      <c r="X471" s="1"/>
      <c r="Y471" s="1"/>
      <c r="Z471" s="1"/>
    </row>
    <row r="472" spans="2:26" ht="15.75" thickBot="1">
      <c r="B472" s="237"/>
      <c r="C472" s="1347" t="s">
        <v>939</v>
      </c>
      <c r="D472" s="1348" t="s">
        <v>280</v>
      </c>
      <c r="E472" s="1416">
        <f>(E470*100/E491)-25</f>
        <v>13.314285714285717</v>
      </c>
      <c r="F472" s="1370">
        <f t="shared" ref="F472:O472" si="85">(F470*100/F491)-25</f>
        <v>2.7857142857142847</v>
      </c>
      <c r="G472" s="1370">
        <f t="shared" si="85"/>
        <v>9.28125</v>
      </c>
      <c r="H472" s="1370">
        <f t="shared" si="85"/>
        <v>14.955555555555556</v>
      </c>
      <c r="I472" s="1370">
        <f t="shared" si="85"/>
        <v>4.8562249999999949</v>
      </c>
      <c r="J472" s="1370">
        <f t="shared" si="85"/>
        <v>7.5566666666666578</v>
      </c>
      <c r="K472" s="1370">
        <f t="shared" si="85"/>
        <v>10.059333333333328</v>
      </c>
      <c r="L472" s="1370">
        <f t="shared" si="85"/>
        <v>2.7222222222222179</v>
      </c>
      <c r="M472" s="1370">
        <f t="shared" si="85"/>
        <v>7.2614999999999981</v>
      </c>
      <c r="N472" s="1370">
        <f t="shared" si="85"/>
        <v>-1.1999999999999993</v>
      </c>
      <c r="O472" s="1370">
        <f t="shared" si="85"/>
        <v>4.1999999999999922</v>
      </c>
      <c r="P472" s="1371">
        <f>(P470*100/P491)-25</f>
        <v>10.575000000000003</v>
      </c>
      <c r="Q472" s="1358"/>
      <c r="V472" s="44"/>
      <c r="W472" s="44"/>
      <c r="X472" s="789"/>
    </row>
    <row r="473" spans="2:26" ht="12.75" customHeight="1">
      <c r="B473" s="99"/>
      <c r="C473" s="542" t="s">
        <v>152</v>
      </c>
      <c r="D473" s="99"/>
      <c r="E473" s="1471"/>
      <c r="F473" s="2418"/>
      <c r="G473" s="2418"/>
      <c r="H473" s="2419"/>
      <c r="I473" s="2419"/>
      <c r="J473" s="2419"/>
      <c r="K473" s="2419"/>
      <c r="L473" s="2419"/>
      <c r="M473" s="2419"/>
      <c r="N473" s="2419"/>
      <c r="O473" s="2419"/>
      <c r="P473" s="2420"/>
      <c r="Q473" s="1358"/>
      <c r="V473" s="44"/>
      <c r="W473" s="44"/>
      <c r="X473" s="789"/>
    </row>
    <row r="474" spans="2:26">
      <c r="B474" s="1350" t="s">
        <v>687</v>
      </c>
      <c r="C474" s="560" t="s">
        <v>363</v>
      </c>
      <c r="D474" s="561">
        <v>60</v>
      </c>
      <c r="E474" s="1359">
        <v>6</v>
      </c>
      <c r="F474" s="1359">
        <v>0.02</v>
      </c>
      <c r="G474" s="2393">
        <v>0.02</v>
      </c>
      <c r="H474" s="1359">
        <v>6</v>
      </c>
      <c r="I474" s="2396">
        <v>13.8</v>
      </c>
      <c r="J474" s="2397">
        <v>25</v>
      </c>
      <c r="K474" s="2397">
        <v>8.4</v>
      </c>
      <c r="L474" s="2397">
        <v>0.36</v>
      </c>
      <c r="M474" s="2397">
        <v>56.7</v>
      </c>
      <c r="N474" s="2397">
        <v>1.8E-3</v>
      </c>
      <c r="O474" s="2397">
        <v>2.0000000000000001E-4</v>
      </c>
      <c r="P474" s="2397">
        <v>1.0200000000000001E-2</v>
      </c>
      <c r="Q474" s="557">
        <v>1</v>
      </c>
      <c r="V474" s="44"/>
      <c r="W474" s="222"/>
      <c r="X474" s="805"/>
    </row>
    <row r="475" spans="2:26">
      <c r="B475" s="1530" t="s">
        <v>831</v>
      </c>
      <c r="C475" s="595" t="s">
        <v>367</v>
      </c>
      <c r="D475" s="239">
        <v>250</v>
      </c>
      <c r="E475" s="2392">
        <v>5.28</v>
      </c>
      <c r="F475" s="380">
        <v>0.13600000000000001</v>
      </c>
      <c r="G475" s="380">
        <v>0.2263</v>
      </c>
      <c r="H475" s="1298">
        <v>185.51</v>
      </c>
      <c r="I475" s="2401">
        <v>12.3363</v>
      </c>
      <c r="J475" s="1359">
        <v>50.39</v>
      </c>
      <c r="K475" s="380">
        <v>9.9600000000000009</v>
      </c>
      <c r="L475" s="1359">
        <v>0.99</v>
      </c>
      <c r="M475" s="1359">
        <v>6.7270000000000003</v>
      </c>
      <c r="N475" s="1359">
        <v>0</v>
      </c>
      <c r="O475" s="2458">
        <v>1.0999999999999999E-2</v>
      </c>
      <c r="P475" s="2393">
        <v>0</v>
      </c>
      <c r="Q475" s="776">
        <v>17</v>
      </c>
      <c r="V475" s="44"/>
      <c r="W475" s="44"/>
      <c r="X475" s="805"/>
    </row>
    <row r="476" spans="2:26">
      <c r="B476" s="558" t="s">
        <v>201</v>
      </c>
      <c r="C476" s="556" t="s">
        <v>245</v>
      </c>
      <c r="D476" s="561">
        <v>180</v>
      </c>
      <c r="E476" s="2392">
        <v>2.54</v>
      </c>
      <c r="F476" s="2459">
        <v>0.01</v>
      </c>
      <c r="G476" s="380">
        <v>0.216</v>
      </c>
      <c r="H476" s="1298">
        <v>98.564999999999998</v>
      </c>
      <c r="I476" s="1359">
        <v>109.08</v>
      </c>
      <c r="J476" s="1359">
        <v>26.08</v>
      </c>
      <c r="K476" s="380">
        <v>10.95</v>
      </c>
      <c r="L476" s="1359">
        <v>0.79</v>
      </c>
      <c r="M476" s="1359">
        <v>16.86</v>
      </c>
      <c r="N476" s="1359">
        <v>0</v>
      </c>
      <c r="O476" s="1359">
        <v>1.1000000000000001E-3</v>
      </c>
      <c r="P476" s="2393">
        <v>0.64</v>
      </c>
      <c r="Q476" s="557">
        <v>33</v>
      </c>
      <c r="V476" s="383"/>
      <c r="W476" s="383"/>
      <c r="X476" s="789"/>
    </row>
    <row r="477" spans="2:26">
      <c r="B477" s="558" t="s">
        <v>206</v>
      </c>
      <c r="C477" s="1290" t="s">
        <v>470</v>
      </c>
      <c r="D477" s="561">
        <v>100</v>
      </c>
      <c r="E477" s="2411">
        <v>1.2</v>
      </c>
      <c r="F477" s="1359">
        <v>0.19400000000000001</v>
      </c>
      <c r="G477" s="1359">
        <v>0.1767</v>
      </c>
      <c r="H477" s="1359">
        <v>22.251000000000001</v>
      </c>
      <c r="I477" s="1359">
        <v>110.827</v>
      </c>
      <c r="J477" s="1359">
        <v>96.61</v>
      </c>
      <c r="K477" s="1359">
        <v>18.149999999999999</v>
      </c>
      <c r="L477" s="1359">
        <v>2.46</v>
      </c>
      <c r="M477" s="1359">
        <v>127.517</v>
      </c>
      <c r="N477" s="2401">
        <v>2.7E-2</v>
      </c>
      <c r="O477" s="1359">
        <v>4.0000000000000001E-3</v>
      </c>
      <c r="P477" s="2393">
        <v>0.748</v>
      </c>
      <c r="Q477" s="557">
        <v>55</v>
      </c>
      <c r="V477" s="44"/>
      <c r="W477" s="44"/>
      <c r="X477" s="805"/>
    </row>
    <row r="478" spans="2:26">
      <c r="B478" s="558" t="s">
        <v>9</v>
      </c>
      <c r="C478" s="556" t="s">
        <v>595</v>
      </c>
      <c r="D478" s="561">
        <v>200</v>
      </c>
      <c r="E478" s="2392">
        <v>2.6</v>
      </c>
      <c r="F478" s="380">
        <v>0.04</v>
      </c>
      <c r="G478" s="380">
        <v>0.06</v>
      </c>
      <c r="H478" s="1384">
        <v>2.6739999999999999</v>
      </c>
      <c r="I478" s="1359">
        <v>27.56</v>
      </c>
      <c r="J478" s="1359">
        <v>32</v>
      </c>
      <c r="K478" s="1359">
        <v>11.8</v>
      </c>
      <c r="L478" s="1359">
        <v>1.61</v>
      </c>
      <c r="M478" s="1359">
        <v>110</v>
      </c>
      <c r="N478" s="1359">
        <v>5.0000000000000001E-3</v>
      </c>
      <c r="O478" s="1359">
        <v>0</v>
      </c>
      <c r="P478" s="2393">
        <v>2E-3</v>
      </c>
      <c r="Q478" s="557">
        <v>76</v>
      </c>
      <c r="R478" s="169"/>
      <c r="V478" s="44"/>
      <c r="W478" s="44"/>
      <c r="X478" s="805"/>
    </row>
    <row r="479" spans="2:26">
      <c r="B479" s="1272" t="s">
        <v>10</v>
      </c>
      <c r="C479" s="560" t="s">
        <v>11</v>
      </c>
      <c r="D479" s="561">
        <v>60</v>
      </c>
      <c r="E479" s="2392">
        <v>0.12</v>
      </c>
      <c r="F479" s="380">
        <v>0.02</v>
      </c>
      <c r="G479" s="380">
        <v>0.02</v>
      </c>
      <c r="H479" s="1298">
        <v>0</v>
      </c>
      <c r="I479" s="1359">
        <v>95</v>
      </c>
      <c r="J479" s="1359">
        <v>77.400000000000006</v>
      </c>
      <c r="K479" s="1359">
        <v>24.6</v>
      </c>
      <c r="L479" s="2393">
        <v>0.06</v>
      </c>
      <c r="M479" s="2469">
        <v>44.6</v>
      </c>
      <c r="N479" s="1359">
        <v>0</v>
      </c>
      <c r="O479" s="1359">
        <v>0</v>
      </c>
      <c r="P479" s="1359">
        <v>0</v>
      </c>
      <c r="Q479" s="557">
        <v>11</v>
      </c>
      <c r="R479" s="4"/>
      <c r="V479" s="792"/>
      <c r="W479" s="793"/>
      <c r="X479" s="2310"/>
      <c r="Y479" s="210"/>
      <c r="Z479" s="22"/>
    </row>
    <row r="480" spans="2:26" ht="15.75" thickBot="1">
      <c r="B480" s="1352" t="s">
        <v>10</v>
      </c>
      <c r="C480" s="573" t="s">
        <v>792</v>
      </c>
      <c r="D480" s="574">
        <v>40</v>
      </c>
      <c r="E480" s="2402">
        <v>0</v>
      </c>
      <c r="F480" s="381">
        <v>0.08</v>
      </c>
      <c r="G480" s="381">
        <v>0</v>
      </c>
      <c r="H480" s="1298">
        <v>0</v>
      </c>
      <c r="I480" s="242">
        <v>33.200000000000003</v>
      </c>
      <c r="J480" s="242">
        <v>60.54</v>
      </c>
      <c r="K480" s="242">
        <v>19.68</v>
      </c>
      <c r="L480" s="242">
        <v>0.04</v>
      </c>
      <c r="M480" s="1359">
        <v>57.6</v>
      </c>
      <c r="N480" s="1359">
        <v>1E-3</v>
      </c>
      <c r="O480" s="1359">
        <v>0</v>
      </c>
      <c r="P480" s="2412">
        <v>0</v>
      </c>
      <c r="Q480" s="589">
        <v>12</v>
      </c>
      <c r="R480" s="4"/>
      <c r="V480" s="1289"/>
      <c r="W480" s="1289"/>
      <c r="X480" s="1289"/>
      <c r="Y480" s="1029"/>
      <c r="Z480" s="1"/>
    </row>
    <row r="481" spans="2:26">
      <c r="B481" s="565" t="s">
        <v>269</v>
      </c>
      <c r="C481" s="2301"/>
      <c r="D481" s="2302">
        <f>SUM(D474:D480)</f>
        <v>890</v>
      </c>
      <c r="E481" s="575">
        <f t="shared" ref="E481:P481" si="86">SUM(E474:E480)</f>
        <v>17.740000000000002</v>
      </c>
      <c r="F481" s="1353">
        <f>SUM(F474:F480)</f>
        <v>0.5</v>
      </c>
      <c r="G481" s="1353">
        <f t="shared" si="86"/>
        <v>0.71900000000000008</v>
      </c>
      <c r="H481" s="1353">
        <f t="shared" si="86"/>
        <v>314.99999999999994</v>
      </c>
      <c r="I481" s="1353">
        <f t="shared" si="86"/>
        <v>401.80329999999998</v>
      </c>
      <c r="J481" s="1353">
        <f t="shared" si="86"/>
        <v>368.02000000000004</v>
      </c>
      <c r="K481" s="1353">
        <f t="shared" si="86"/>
        <v>103.53999999999999</v>
      </c>
      <c r="L481" s="1353">
        <f t="shared" si="86"/>
        <v>6.31</v>
      </c>
      <c r="M481" s="1353">
        <f>SUM(M474:M480)</f>
        <v>420.00400000000002</v>
      </c>
      <c r="N481" s="1353">
        <f t="shared" si="86"/>
        <v>3.4799999999999998E-2</v>
      </c>
      <c r="O481" s="1353">
        <f t="shared" si="86"/>
        <v>1.6300000000000002E-2</v>
      </c>
      <c r="P481" s="1389">
        <f t="shared" si="86"/>
        <v>1.4002000000000001</v>
      </c>
      <c r="Q481" s="1358"/>
      <c r="R481" s="116"/>
      <c r="V481" s="1"/>
      <c r="W481" s="1"/>
      <c r="X481" s="1"/>
      <c r="Y481" s="1"/>
      <c r="Z481" s="1"/>
    </row>
    <row r="482" spans="2:26">
      <c r="B482" s="1343"/>
      <c r="C482" s="2298" t="s">
        <v>12</v>
      </c>
      <c r="D482" s="2291">
        <v>0.35</v>
      </c>
      <c r="E482" s="1355">
        <v>24.5</v>
      </c>
      <c r="F482" s="1365">
        <v>0.49</v>
      </c>
      <c r="G482" s="1364">
        <v>0.56000000000000005</v>
      </c>
      <c r="H482" s="1363">
        <v>315</v>
      </c>
      <c r="I482" s="1365">
        <v>420</v>
      </c>
      <c r="J482" s="1364">
        <v>420</v>
      </c>
      <c r="K482" s="1363">
        <v>105</v>
      </c>
      <c r="L482" s="1365">
        <v>6.3</v>
      </c>
      <c r="M482" s="1369">
        <v>420</v>
      </c>
      <c r="N482" s="1365">
        <v>3.5000000000000003E-2</v>
      </c>
      <c r="O482" s="1364">
        <v>1.7500000000000002E-2</v>
      </c>
      <c r="P482" s="1366">
        <v>1.4</v>
      </c>
      <c r="Q482" s="1358"/>
      <c r="R482" s="4"/>
      <c r="V482" s="44"/>
      <c r="W482" s="44"/>
      <c r="X482" s="789"/>
      <c r="Y482" s="3"/>
    </row>
    <row r="483" spans="2:26" ht="15.75" thickBot="1">
      <c r="B483" s="237"/>
      <c r="C483" s="1347" t="s">
        <v>939</v>
      </c>
      <c r="D483" s="1348" t="s">
        <v>280</v>
      </c>
      <c r="E483" s="1416">
        <f>(E481*100/E491)-35</f>
        <v>-9.6571428571428548</v>
      </c>
      <c r="F483" s="1370">
        <f t="shared" ref="F483:O483" si="87">(F481*100/F491)-35</f>
        <v>0.7142857142857153</v>
      </c>
      <c r="G483" s="1370">
        <f t="shared" si="87"/>
        <v>9.9375</v>
      </c>
      <c r="H483" s="1370">
        <f t="shared" si="87"/>
        <v>0</v>
      </c>
      <c r="I483" s="1370">
        <f t="shared" si="87"/>
        <v>-1.5163916666666708</v>
      </c>
      <c r="J483" s="1370">
        <f t="shared" si="87"/>
        <v>-4.3316666666666599</v>
      </c>
      <c r="K483" s="1370">
        <f t="shared" si="87"/>
        <v>-0.48666666666666458</v>
      </c>
      <c r="L483" s="1370">
        <f t="shared" si="87"/>
        <v>5.5555555555557135E-2</v>
      </c>
      <c r="M483" s="1370">
        <f t="shared" si="87"/>
        <v>3.3333333333729342E-4</v>
      </c>
      <c r="N483" s="1370">
        <f t="shared" si="87"/>
        <v>-0.20000000000000995</v>
      </c>
      <c r="O483" s="1370">
        <f t="shared" si="87"/>
        <v>-2.3999999999999986</v>
      </c>
      <c r="P483" s="1371">
        <f>(P481*100/P491)-35</f>
        <v>5.000000000002558E-3</v>
      </c>
      <c r="Q483" s="1358"/>
      <c r="R483" s="4"/>
      <c r="V483" s="152"/>
      <c r="W483" s="222"/>
      <c r="X483" s="789"/>
      <c r="Y483" s="3"/>
    </row>
    <row r="484" spans="2:26">
      <c r="B484" s="99"/>
      <c r="C484" s="162" t="s">
        <v>324</v>
      </c>
      <c r="D484" s="99"/>
      <c r="E484" s="2460"/>
      <c r="F484" s="2461"/>
      <c r="G484" s="2461"/>
      <c r="H484" s="2423"/>
      <c r="I484" s="2423"/>
      <c r="J484" s="2423"/>
      <c r="K484" s="2462"/>
      <c r="L484" s="2423"/>
      <c r="M484" s="2423"/>
      <c r="N484" s="2423"/>
      <c r="O484" s="2423"/>
      <c r="P484" s="2463"/>
      <c r="Q484" s="1358"/>
      <c r="R484" s="4"/>
      <c r="V484" s="792"/>
      <c r="W484" s="793"/>
      <c r="X484" s="2310"/>
      <c r="Y484" s="210"/>
      <c r="Z484" s="22"/>
    </row>
    <row r="485" spans="2:26">
      <c r="B485" s="2290" t="s">
        <v>821</v>
      </c>
      <c r="C485" s="556" t="s">
        <v>339</v>
      </c>
      <c r="D485" s="561">
        <v>200</v>
      </c>
      <c r="E485" s="2392">
        <v>1.0900000000000001</v>
      </c>
      <c r="F485" s="380">
        <v>0.06</v>
      </c>
      <c r="G485" s="380">
        <v>0.26</v>
      </c>
      <c r="H485" s="1384">
        <v>27.76</v>
      </c>
      <c r="I485" s="1359">
        <v>214.73</v>
      </c>
      <c r="J485" s="1359">
        <v>169.44</v>
      </c>
      <c r="K485" s="1359">
        <v>32.64</v>
      </c>
      <c r="L485" s="1359">
        <v>0.69</v>
      </c>
      <c r="M485" s="1359">
        <v>172.77</v>
      </c>
      <c r="N485" s="1359">
        <v>0</v>
      </c>
      <c r="O485" s="1359">
        <v>0.01</v>
      </c>
      <c r="P485" s="2393">
        <v>0.19</v>
      </c>
      <c r="Q485" s="628">
        <v>89</v>
      </c>
      <c r="R485" s="4"/>
    </row>
    <row r="486" spans="2:26" ht="15.75" thickBot="1">
      <c r="B486" s="2296" t="s">
        <v>1000</v>
      </c>
      <c r="C486" s="573" t="s">
        <v>456</v>
      </c>
      <c r="D486" s="574" t="s">
        <v>542</v>
      </c>
      <c r="E486" s="2464">
        <v>6.54</v>
      </c>
      <c r="F486" s="586">
        <v>0.108</v>
      </c>
      <c r="G486" s="2465">
        <v>5.8000000000000003E-2</v>
      </c>
      <c r="H486" s="2403">
        <v>92.2</v>
      </c>
      <c r="I486" s="1370">
        <v>35.479999999999997</v>
      </c>
      <c r="J486" s="1370">
        <v>39.799999999999997</v>
      </c>
      <c r="K486" s="586">
        <v>17.248000000000001</v>
      </c>
      <c r="L486" s="1370">
        <v>1.002</v>
      </c>
      <c r="M486" s="1370">
        <v>10.08</v>
      </c>
      <c r="N486" s="1370">
        <v>8.0000000000000002E-3</v>
      </c>
      <c r="O486" s="1370">
        <v>2E-3</v>
      </c>
      <c r="P486" s="2404">
        <v>0.25600000000000001</v>
      </c>
      <c r="Q486" s="627">
        <v>41</v>
      </c>
      <c r="R486" s="433"/>
    </row>
    <row r="487" spans="2:26">
      <c r="B487" s="565" t="s">
        <v>357</v>
      </c>
      <c r="C487" s="2301"/>
      <c r="D487" s="2302">
        <f>D485+155+25</f>
        <v>380</v>
      </c>
      <c r="E487" s="575">
        <f>SUM(E485:E486)</f>
        <v>7.63</v>
      </c>
      <c r="F487" s="1353">
        <f t="shared" ref="F487:P487" si="88">SUM(F485:F486)</f>
        <v>0.16799999999999998</v>
      </c>
      <c r="G487" s="1353">
        <f t="shared" si="88"/>
        <v>0.318</v>
      </c>
      <c r="H487" s="1353">
        <f t="shared" si="88"/>
        <v>119.96000000000001</v>
      </c>
      <c r="I487" s="1353">
        <f t="shared" si="88"/>
        <v>250.20999999999998</v>
      </c>
      <c r="J487" s="1353">
        <f>SUM(J485:J486)</f>
        <v>209.24</v>
      </c>
      <c r="K487" s="1353">
        <f t="shared" si="88"/>
        <v>49.888000000000005</v>
      </c>
      <c r="L487" s="1353">
        <f t="shared" si="88"/>
        <v>1.6919999999999999</v>
      </c>
      <c r="M487" s="1353">
        <f t="shared" si="88"/>
        <v>182.85000000000002</v>
      </c>
      <c r="N487" s="1353">
        <f t="shared" si="88"/>
        <v>8.0000000000000002E-3</v>
      </c>
      <c r="O487" s="1353">
        <f>SUM(O485:O486)</f>
        <v>1.2E-2</v>
      </c>
      <c r="P487" s="1405">
        <f t="shared" si="88"/>
        <v>0.44600000000000001</v>
      </c>
      <c r="Q487" s="360"/>
      <c r="R487" s="433"/>
    </row>
    <row r="488" spans="2:26" ht="15.75" thickBot="1">
      <c r="B488" s="1343"/>
      <c r="C488" s="1344" t="s">
        <v>12</v>
      </c>
      <c r="D488" s="2261">
        <v>0.1</v>
      </c>
      <c r="E488" s="1422">
        <v>7</v>
      </c>
      <c r="F488" s="1423">
        <v>0.14000000000000001</v>
      </c>
      <c r="G488" s="1424">
        <v>0.16</v>
      </c>
      <c r="H488" s="1461">
        <v>90</v>
      </c>
      <c r="I488" s="1423">
        <v>120</v>
      </c>
      <c r="J488" s="1424">
        <v>120</v>
      </c>
      <c r="K488" s="1461">
        <v>30</v>
      </c>
      <c r="L488" s="1423">
        <v>1.8</v>
      </c>
      <c r="M488" s="2445">
        <v>120</v>
      </c>
      <c r="N488" s="1423">
        <v>0.01</v>
      </c>
      <c r="O488" s="1424">
        <v>5.0000000000000001E-3</v>
      </c>
      <c r="P488" s="1425">
        <v>0.4</v>
      </c>
      <c r="Q488" s="360"/>
      <c r="R488" s="794"/>
    </row>
    <row r="489" spans="2:26" ht="15.75" thickBot="1">
      <c r="B489" s="237"/>
      <c r="C489" s="1347" t="s">
        <v>939</v>
      </c>
      <c r="D489" s="1348" t="s">
        <v>280</v>
      </c>
      <c r="E489" s="1416">
        <f>(E487*100/E491)-10</f>
        <v>0.90000000000000036</v>
      </c>
      <c r="F489" s="1370">
        <f t="shared" ref="F489:O489" si="89">(F487*100/F491)-10</f>
        <v>1.9999999999999982</v>
      </c>
      <c r="G489" s="1370">
        <f t="shared" si="89"/>
        <v>9.875</v>
      </c>
      <c r="H489" s="1370">
        <f t="shared" si="89"/>
        <v>3.3288888888888888</v>
      </c>
      <c r="I489" s="1370">
        <f t="shared" si="89"/>
        <v>10.85083333333333</v>
      </c>
      <c r="J489" s="1370">
        <f t="shared" si="89"/>
        <v>7.4366666666666674</v>
      </c>
      <c r="K489" s="1370">
        <f t="shared" si="89"/>
        <v>6.6293333333333351</v>
      </c>
      <c r="L489" s="1370">
        <f t="shared" si="89"/>
        <v>-0.60000000000000142</v>
      </c>
      <c r="M489" s="1370">
        <f t="shared" si="89"/>
        <v>5.2375000000000025</v>
      </c>
      <c r="N489" s="1370">
        <f t="shared" si="89"/>
        <v>-2</v>
      </c>
      <c r="O489" s="1370">
        <f t="shared" si="89"/>
        <v>13.999999999999996</v>
      </c>
      <c r="P489" s="1371">
        <f>(P487*100/P491)-10</f>
        <v>1.1500000000000004</v>
      </c>
      <c r="Q489" s="360"/>
    </row>
    <row r="490" spans="2:26" ht="15.75" thickBot="1">
      <c r="E490" s="358"/>
      <c r="F490" s="358"/>
      <c r="G490" s="358"/>
      <c r="H490" s="358"/>
      <c r="I490" s="358"/>
      <c r="J490" s="358"/>
      <c r="K490" s="358"/>
      <c r="L490" s="358"/>
      <c r="M490" s="358"/>
      <c r="N490" s="358"/>
      <c r="O490" s="358"/>
      <c r="P490" s="358"/>
      <c r="Q490" s="360"/>
    </row>
    <row r="491" spans="2:26" ht="15.75" thickBot="1">
      <c r="B491" s="2369" t="s">
        <v>959</v>
      </c>
      <c r="C491" s="2262"/>
      <c r="D491" s="2263">
        <v>1</v>
      </c>
      <c r="E491" s="2407">
        <v>70</v>
      </c>
      <c r="F491" s="2408">
        <v>1.4</v>
      </c>
      <c r="G491" s="2408">
        <v>1.6</v>
      </c>
      <c r="H491" s="2264">
        <v>900</v>
      </c>
      <c r="I491" s="2405">
        <v>1200</v>
      </c>
      <c r="J491" s="2406">
        <v>1200</v>
      </c>
      <c r="K491" s="2406">
        <v>300</v>
      </c>
      <c r="L491" s="2409">
        <v>18</v>
      </c>
      <c r="M491" s="2405">
        <v>1200</v>
      </c>
      <c r="N491" s="2409">
        <v>0.1</v>
      </c>
      <c r="O491" s="2409">
        <v>0.05</v>
      </c>
      <c r="P491" s="2410">
        <v>4</v>
      </c>
      <c r="Q491" s="204"/>
    </row>
    <row r="492" spans="2:26">
      <c r="B492" s="1021"/>
      <c r="C492" s="34" t="s">
        <v>481</v>
      </c>
      <c r="D492" s="35"/>
      <c r="E492" s="145">
        <f>E470+E481</f>
        <v>44.56</v>
      </c>
      <c r="F492" s="243">
        <f t="shared" ref="F492:P492" si="90">F470+F481</f>
        <v>0.88900000000000001</v>
      </c>
      <c r="G492" s="243">
        <f t="shared" si="90"/>
        <v>1.2675000000000001</v>
      </c>
      <c r="H492" s="243">
        <f t="shared" si="90"/>
        <v>674.59999999999991</v>
      </c>
      <c r="I492" s="243">
        <f t="shared" si="90"/>
        <v>760.07799999999997</v>
      </c>
      <c r="J492" s="243">
        <f t="shared" si="90"/>
        <v>758.7</v>
      </c>
      <c r="K492" s="243">
        <f t="shared" si="90"/>
        <v>208.71799999999999</v>
      </c>
      <c r="L492" s="243">
        <f t="shared" si="90"/>
        <v>11.299999999999999</v>
      </c>
      <c r="M492" s="243">
        <f t="shared" si="90"/>
        <v>807.14200000000005</v>
      </c>
      <c r="N492" s="243">
        <f t="shared" si="90"/>
        <v>5.8599999999999999E-2</v>
      </c>
      <c r="O492" s="243">
        <f t="shared" si="90"/>
        <v>3.09E-2</v>
      </c>
      <c r="P492" s="1024">
        <f t="shared" si="90"/>
        <v>2.8231999999999999</v>
      </c>
      <c r="Q492" s="360"/>
      <c r="R492" s="18"/>
    </row>
    <row r="493" spans="2:26">
      <c r="B493" s="513"/>
      <c r="C493" s="1368" t="s">
        <v>12</v>
      </c>
      <c r="D493" s="2261">
        <v>0.6</v>
      </c>
      <c r="E493" s="1355">
        <v>42</v>
      </c>
      <c r="F493" s="1365">
        <v>0.84</v>
      </c>
      <c r="G493" s="1364">
        <v>0.96</v>
      </c>
      <c r="H493" s="1363">
        <v>540</v>
      </c>
      <c r="I493" s="1365">
        <v>720</v>
      </c>
      <c r="J493" s="1364">
        <v>720</v>
      </c>
      <c r="K493" s="1363">
        <v>180</v>
      </c>
      <c r="L493" s="1365">
        <v>10.8</v>
      </c>
      <c r="M493" s="1369">
        <v>720</v>
      </c>
      <c r="N493" s="1365">
        <v>0.06</v>
      </c>
      <c r="O493" s="1364">
        <v>0.03</v>
      </c>
      <c r="P493" s="1366">
        <v>2.4</v>
      </c>
      <c r="Q493" s="360"/>
      <c r="R493" s="94"/>
    </row>
    <row r="494" spans="2:26" ht="15.75" thickBot="1">
      <c r="B494" s="237"/>
      <c r="C494" s="1347" t="s">
        <v>939</v>
      </c>
      <c r="D494" s="1348" t="s">
        <v>280</v>
      </c>
      <c r="E494" s="1416">
        <f t="shared" ref="E494:P494" si="91">(E492*100/E491)-60</f>
        <v>3.6571428571428584</v>
      </c>
      <c r="F494" s="1370">
        <f t="shared" si="91"/>
        <v>3.5000000000000071</v>
      </c>
      <c r="G494" s="1370">
        <f t="shared" si="91"/>
        <v>19.21875</v>
      </c>
      <c r="H494" s="1370">
        <f t="shared" si="91"/>
        <v>14.955555555555534</v>
      </c>
      <c r="I494" s="1370">
        <f t="shared" si="91"/>
        <v>3.3398333333333383</v>
      </c>
      <c r="J494" s="1370">
        <f t="shared" si="91"/>
        <v>3.2250000000000014</v>
      </c>
      <c r="K494" s="1370">
        <f t="shared" si="91"/>
        <v>9.5726666666666631</v>
      </c>
      <c r="L494" s="1370">
        <f t="shared" si="91"/>
        <v>2.7777777777777786</v>
      </c>
      <c r="M494" s="1370">
        <f t="shared" si="91"/>
        <v>7.2618333333333425</v>
      </c>
      <c r="N494" s="1370">
        <f t="shared" si="91"/>
        <v>-1.3999999999999986</v>
      </c>
      <c r="O494" s="1370">
        <f t="shared" si="91"/>
        <v>1.7999999999999972</v>
      </c>
      <c r="P494" s="1371">
        <f t="shared" si="91"/>
        <v>10.579999999999998</v>
      </c>
      <c r="Q494" s="360"/>
      <c r="R494" s="169"/>
    </row>
    <row r="495" spans="2:26" ht="15.75" thickBot="1"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360"/>
      <c r="R495" s="4"/>
    </row>
    <row r="496" spans="2:26">
      <c r="B496" s="1021"/>
      <c r="C496" s="34" t="s">
        <v>480</v>
      </c>
      <c r="D496" s="35"/>
      <c r="E496" s="145">
        <f>E481+E487</f>
        <v>25.37</v>
      </c>
      <c r="F496" s="243">
        <f t="shared" ref="F496:P496" si="92">F481+F487</f>
        <v>0.66799999999999993</v>
      </c>
      <c r="G496" s="243">
        <f t="shared" si="92"/>
        <v>1.0370000000000001</v>
      </c>
      <c r="H496" s="243">
        <f t="shared" si="92"/>
        <v>434.95999999999992</v>
      </c>
      <c r="I496" s="243">
        <f t="shared" si="92"/>
        <v>652.01329999999996</v>
      </c>
      <c r="J496" s="243">
        <f t="shared" si="92"/>
        <v>577.26</v>
      </c>
      <c r="K496" s="243">
        <f t="shared" si="92"/>
        <v>153.428</v>
      </c>
      <c r="L496" s="243">
        <f t="shared" si="92"/>
        <v>8.0019999999999989</v>
      </c>
      <c r="M496" s="243">
        <f t="shared" si="92"/>
        <v>602.85400000000004</v>
      </c>
      <c r="N496" s="243">
        <f t="shared" si="92"/>
        <v>4.2799999999999998E-2</v>
      </c>
      <c r="O496" s="243">
        <f t="shared" si="92"/>
        <v>2.8300000000000002E-2</v>
      </c>
      <c r="P496" s="1024">
        <f t="shared" si="92"/>
        <v>1.8462000000000001</v>
      </c>
      <c r="Q496" s="360"/>
      <c r="R496" s="4"/>
    </row>
    <row r="497" spans="2:18">
      <c r="B497" s="513"/>
      <c r="C497" s="1368" t="s">
        <v>12</v>
      </c>
      <c r="D497" s="2261">
        <v>0.45</v>
      </c>
      <c r="E497" s="1355">
        <v>31.5</v>
      </c>
      <c r="F497" s="1365">
        <v>0.63</v>
      </c>
      <c r="G497" s="1364">
        <v>0.72</v>
      </c>
      <c r="H497" s="1364">
        <v>405</v>
      </c>
      <c r="I497" s="1365">
        <v>540</v>
      </c>
      <c r="J497" s="1364">
        <v>540</v>
      </c>
      <c r="K497" s="1364">
        <v>135</v>
      </c>
      <c r="L497" s="1365">
        <v>8.1</v>
      </c>
      <c r="M497" s="1365">
        <v>540</v>
      </c>
      <c r="N497" s="1365">
        <v>4.4999999999999998E-2</v>
      </c>
      <c r="O497" s="1364">
        <v>2.2499999999999999E-2</v>
      </c>
      <c r="P497" s="1366">
        <v>1.8</v>
      </c>
      <c r="Q497" s="360"/>
      <c r="R497" s="218"/>
    </row>
    <row r="498" spans="2:18" ht="15.75" thickBot="1">
      <c r="B498" s="237"/>
      <c r="C498" s="1347" t="s">
        <v>939</v>
      </c>
      <c r="D498" s="1348" t="s">
        <v>280</v>
      </c>
      <c r="E498" s="1416">
        <f t="shared" ref="E498:P498" si="93">(E496*100/E491)-45</f>
        <v>-8.7571428571428598</v>
      </c>
      <c r="F498" s="1370">
        <f t="shared" si="93"/>
        <v>2.7142857142857153</v>
      </c>
      <c r="G498" s="1370">
        <f t="shared" si="93"/>
        <v>19.8125</v>
      </c>
      <c r="H498" s="1370">
        <f t="shared" si="93"/>
        <v>3.3288888888888835</v>
      </c>
      <c r="I498" s="1370">
        <f t="shared" si="93"/>
        <v>9.3344416666666632</v>
      </c>
      <c r="J498" s="1370">
        <f t="shared" si="93"/>
        <v>3.1049999999999969</v>
      </c>
      <c r="K498" s="1370">
        <f t="shared" si="93"/>
        <v>6.1426666666666634</v>
      </c>
      <c r="L498" s="1370">
        <f t="shared" si="93"/>
        <v>-0.54444444444445139</v>
      </c>
      <c r="M498" s="1370">
        <f t="shared" si="93"/>
        <v>5.2378333333333345</v>
      </c>
      <c r="N498" s="1370">
        <f t="shared" si="93"/>
        <v>-2.2000000000000099</v>
      </c>
      <c r="O498" s="1370">
        <f t="shared" si="93"/>
        <v>11.600000000000001</v>
      </c>
      <c r="P498" s="1371">
        <f t="shared" si="93"/>
        <v>1.1550000000000011</v>
      </c>
      <c r="Q498" s="360"/>
      <c r="R498" s="4"/>
    </row>
    <row r="499" spans="2:18" ht="15.75" thickBot="1"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360"/>
      <c r="R499" s="4"/>
    </row>
    <row r="500" spans="2:18" ht="15.75" thickBot="1">
      <c r="B500" s="1463" t="s">
        <v>741</v>
      </c>
      <c r="C500" s="34"/>
      <c r="D500" s="35"/>
      <c r="E500" s="149">
        <f>E470+E481+E487</f>
        <v>52.190000000000005</v>
      </c>
      <c r="F500" s="109">
        <f t="shared" ref="F500:P500" si="94">F470+F481+F487</f>
        <v>1.0569999999999999</v>
      </c>
      <c r="G500" s="1361">
        <f t="shared" si="94"/>
        <v>1.5855000000000001</v>
      </c>
      <c r="H500" s="1361">
        <f t="shared" si="94"/>
        <v>794.56</v>
      </c>
      <c r="I500" s="2595">
        <f t="shared" si="94"/>
        <v>1010.288</v>
      </c>
      <c r="J500" s="1361">
        <f t="shared" si="94"/>
        <v>967.94</v>
      </c>
      <c r="K500" s="1361">
        <f t="shared" si="94"/>
        <v>258.60599999999999</v>
      </c>
      <c r="L500" s="1361">
        <f t="shared" si="94"/>
        <v>12.991999999999999</v>
      </c>
      <c r="M500" s="1361">
        <f t="shared" si="94"/>
        <v>989.99200000000008</v>
      </c>
      <c r="N500" s="1361">
        <f t="shared" si="94"/>
        <v>6.6599999999999993E-2</v>
      </c>
      <c r="O500" s="1361">
        <f t="shared" si="94"/>
        <v>4.2900000000000001E-2</v>
      </c>
      <c r="P500" s="1409">
        <f t="shared" si="94"/>
        <v>3.2692000000000001</v>
      </c>
      <c r="Q500" s="360"/>
      <c r="R500" s="4"/>
    </row>
    <row r="501" spans="2:18">
      <c r="B501" s="88"/>
      <c r="C501" s="1354" t="s">
        <v>12</v>
      </c>
      <c r="D501" s="2261">
        <v>0.7</v>
      </c>
      <c r="E501" s="1355">
        <v>49</v>
      </c>
      <c r="F501" s="1365">
        <v>0.98</v>
      </c>
      <c r="G501" s="1364">
        <v>1.1200000000000001</v>
      </c>
      <c r="H501" s="1364">
        <v>630</v>
      </c>
      <c r="I501" s="1365">
        <v>840</v>
      </c>
      <c r="J501" s="1364">
        <v>840</v>
      </c>
      <c r="K501" s="1364">
        <v>210</v>
      </c>
      <c r="L501" s="1365">
        <v>12.6</v>
      </c>
      <c r="M501" s="1365">
        <v>840</v>
      </c>
      <c r="N501" s="1365">
        <v>7.0000000000000007E-2</v>
      </c>
      <c r="O501" s="1364">
        <v>3.5000000000000003E-2</v>
      </c>
      <c r="P501" s="1366">
        <v>2.8</v>
      </c>
      <c r="Q501" s="360"/>
    </row>
    <row r="502" spans="2:18" ht="15.75" thickBot="1">
      <c r="B502" s="237"/>
      <c r="C502" s="1347" t="s">
        <v>939</v>
      </c>
      <c r="D502" s="1348" t="s">
        <v>280</v>
      </c>
      <c r="E502" s="1416">
        <f t="shared" ref="E502:P502" si="95">(E500*100/E491)-70</f>
        <v>4.557142857142864</v>
      </c>
      <c r="F502" s="1370">
        <f t="shared" si="95"/>
        <v>5.5</v>
      </c>
      <c r="G502" s="1370">
        <f t="shared" si="95"/>
        <v>29.09375</v>
      </c>
      <c r="H502" s="1370">
        <f t="shared" si="95"/>
        <v>18.284444444444446</v>
      </c>
      <c r="I502" s="1370">
        <f t="shared" si="95"/>
        <v>14.190666666666672</v>
      </c>
      <c r="J502" s="1370">
        <f t="shared" si="95"/>
        <v>10.661666666666662</v>
      </c>
      <c r="K502" s="1370">
        <f t="shared" si="95"/>
        <v>16.201999999999998</v>
      </c>
      <c r="L502" s="1370">
        <f t="shared" si="95"/>
        <v>2.1777777777777629</v>
      </c>
      <c r="M502" s="1370">
        <f t="shared" si="95"/>
        <v>12.49933333333334</v>
      </c>
      <c r="N502" s="1370">
        <f t="shared" si="95"/>
        <v>-3.4000000000000057</v>
      </c>
      <c r="O502" s="1370">
        <f t="shared" si="95"/>
        <v>15.799999999999997</v>
      </c>
      <c r="P502" s="1371">
        <f t="shared" si="95"/>
        <v>11.730000000000004</v>
      </c>
      <c r="Q502" s="360"/>
    </row>
    <row r="503" spans="2:18">
      <c r="Q503" s="360"/>
      <c r="R503" s="169"/>
    </row>
    <row r="504" spans="2:18">
      <c r="E504" s="194"/>
      <c r="F504" s="194"/>
      <c r="G504" s="194"/>
      <c r="K504" s="32"/>
      <c r="P504"/>
      <c r="Q504" s="360"/>
      <c r="R504" s="4"/>
    </row>
    <row r="505" spans="2:18">
      <c r="C505" s="1300" t="s">
        <v>695</v>
      </c>
      <c r="D505"/>
      <c r="E505" s="32"/>
      <c r="K505" s="385"/>
      <c r="P505"/>
      <c r="Q505" s="360"/>
      <c r="R505" s="116"/>
    </row>
    <row r="506" spans="2:18">
      <c r="C506" s="7" t="s">
        <v>754</v>
      </c>
      <c r="D506" s="8"/>
      <c r="E506" s="2"/>
      <c r="K506"/>
      <c r="P506"/>
      <c r="Q506" s="360"/>
      <c r="R506" s="4"/>
    </row>
    <row r="507" spans="2:18">
      <c r="C507" s="1" t="s">
        <v>359</v>
      </c>
      <c r="D507"/>
      <c r="E507"/>
      <c r="F507"/>
      <c r="K507" s="63"/>
      <c r="P507"/>
      <c r="Q507" s="360"/>
      <c r="R507" s="116"/>
    </row>
    <row r="508" spans="2:18">
      <c r="C508" s="19" t="s">
        <v>282</v>
      </c>
      <c r="E508"/>
      <c r="F508"/>
      <c r="G508" s="19"/>
      <c r="H508" s="19"/>
      <c r="K508" s="119"/>
      <c r="P508"/>
      <c r="Q508" s="360"/>
      <c r="R508" s="4"/>
    </row>
    <row r="509" spans="2:18" ht="15.75">
      <c r="C509" s="1300" t="s">
        <v>694</v>
      </c>
      <c r="D509"/>
      <c r="J509" s="20" t="s">
        <v>0</v>
      </c>
      <c r="K509"/>
      <c r="L509" s="2" t="s">
        <v>317</v>
      </c>
      <c r="M509" s="13"/>
      <c r="N509" s="13"/>
      <c r="O509" s="24"/>
      <c r="P509"/>
      <c r="Q509" s="360"/>
      <c r="R509" s="4"/>
    </row>
    <row r="510" spans="2:18" ht="21">
      <c r="B510" s="43" t="s">
        <v>698</v>
      </c>
      <c r="E510"/>
      <c r="F510"/>
      <c r="G510" s="23" t="s">
        <v>364</v>
      </c>
      <c r="H510" s="19"/>
      <c r="K510" s="32"/>
      <c r="P510"/>
      <c r="Q510" s="360"/>
      <c r="R510" s="4"/>
    </row>
    <row r="511" spans="2:18" ht="15.75" thickBot="1">
      <c r="C511" s="94" t="s">
        <v>743</v>
      </c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360"/>
      <c r="R511" s="433"/>
    </row>
    <row r="512" spans="2:18" ht="15.75" thickBot="1">
      <c r="B512" s="1304" t="s">
        <v>700</v>
      </c>
      <c r="C512" s="99"/>
      <c r="D512" s="1376" t="s">
        <v>251</v>
      </c>
      <c r="E512" s="1306" t="s">
        <v>701</v>
      </c>
      <c r="F512" s="1307"/>
      <c r="G512" s="1307"/>
      <c r="H512" s="1308"/>
      <c r="I512" s="1309" t="s">
        <v>730</v>
      </c>
      <c r="J512" s="31"/>
      <c r="K512" s="1310"/>
      <c r="L512" s="31"/>
      <c r="M512" s="31"/>
      <c r="N512" s="31"/>
      <c r="O512" s="31"/>
      <c r="P512" s="54"/>
      <c r="Q512" s="1304" t="s">
        <v>703</v>
      </c>
      <c r="R512" s="433"/>
    </row>
    <row r="513" spans="2:26">
      <c r="B513" s="535" t="s">
        <v>704</v>
      </c>
      <c r="C513" s="530" t="s">
        <v>257</v>
      </c>
      <c r="D513" s="1377" t="s">
        <v>258</v>
      </c>
      <c r="E513" s="1312" t="s">
        <v>705</v>
      </c>
      <c r="F513" s="1313" t="s">
        <v>706</v>
      </c>
      <c r="G513" s="787" t="s">
        <v>707</v>
      </c>
      <c r="H513" s="1314" t="s">
        <v>708</v>
      </c>
      <c r="I513" s="1315" t="s">
        <v>709</v>
      </c>
      <c r="J513" s="1316" t="s">
        <v>710</v>
      </c>
      <c r="K513" s="1317" t="s">
        <v>711</v>
      </c>
      <c r="L513" s="1318" t="s">
        <v>712</v>
      </c>
      <c r="M513" s="1319" t="s">
        <v>713</v>
      </c>
      <c r="N513" s="835" t="s">
        <v>714</v>
      </c>
      <c r="O513" s="1319" t="s">
        <v>715</v>
      </c>
      <c r="P513" s="1320" t="s">
        <v>716</v>
      </c>
      <c r="Q513" s="1321" t="s">
        <v>717</v>
      </c>
    </row>
    <row r="514" spans="2:26" ht="15.75" thickBot="1">
      <c r="B514" s="541" t="s">
        <v>718</v>
      </c>
      <c r="C514" s="579"/>
      <c r="D514" s="537"/>
      <c r="E514" s="56"/>
      <c r="F514" s="1378"/>
      <c r="H514" s="1378"/>
      <c r="I514" s="1379" t="s">
        <v>719</v>
      </c>
      <c r="J514" s="119" t="s">
        <v>720</v>
      </c>
      <c r="K514" s="1380" t="s">
        <v>721</v>
      </c>
      <c r="L514" s="1381" t="s">
        <v>722</v>
      </c>
      <c r="M514" s="1380" t="s">
        <v>723</v>
      </c>
      <c r="N514" s="46" t="s">
        <v>724</v>
      </c>
      <c r="O514" s="1382" t="s">
        <v>725</v>
      </c>
      <c r="P514" s="1383" t="s">
        <v>726</v>
      </c>
      <c r="Q514" s="1330" t="s">
        <v>490</v>
      </c>
    </row>
    <row r="515" spans="2:26">
      <c r="B515" s="99"/>
      <c r="C515" s="774" t="s">
        <v>199</v>
      </c>
      <c r="D515" s="543"/>
      <c r="E515" s="1331"/>
      <c r="F515" s="545"/>
      <c r="G515" s="545"/>
      <c r="H515" s="775"/>
      <c r="I515" s="1333"/>
      <c r="J515" s="1333"/>
      <c r="K515" s="1464"/>
      <c r="L515" s="1333"/>
      <c r="M515" s="1333"/>
      <c r="N515" s="1333"/>
      <c r="O515" s="1333"/>
      <c r="P515" s="1335"/>
      <c r="Q515" s="1413"/>
      <c r="V515" s="44"/>
      <c r="W515" s="44"/>
      <c r="X515" s="789"/>
    </row>
    <row r="516" spans="2:26">
      <c r="B516" s="1350" t="s">
        <v>687</v>
      </c>
      <c r="C516" s="560" t="s">
        <v>363</v>
      </c>
      <c r="D516" s="561">
        <v>60</v>
      </c>
      <c r="E516" s="1359">
        <v>6</v>
      </c>
      <c r="F516" s="1359">
        <v>0.02</v>
      </c>
      <c r="G516" s="2393">
        <v>0.02</v>
      </c>
      <c r="H516" s="1359">
        <v>6</v>
      </c>
      <c r="I516" s="2396">
        <v>13.8</v>
      </c>
      <c r="J516" s="2397">
        <v>25</v>
      </c>
      <c r="K516" s="2397">
        <v>8.4</v>
      </c>
      <c r="L516" s="2397">
        <v>0.36</v>
      </c>
      <c r="M516" s="2397">
        <v>56.7</v>
      </c>
      <c r="N516" s="2397">
        <v>1.8E-3</v>
      </c>
      <c r="O516" s="2397">
        <v>2.0000000000000001E-4</v>
      </c>
      <c r="P516" s="2397">
        <v>1.0200000000000001E-2</v>
      </c>
      <c r="Q516" s="557">
        <v>1</v>
      </c>
      <c r="V516" s="430"/>
      <c r="W516" s="153"/>
      <c r="X516" s="789"/>
    </row>
    <row r="517" spans="2:26">
      <c r="B517" s="1351" t="s">
        <v>356</v>
      </c>
      <c r="C517" s="495" t="s">
        <v>355</v>
      </c>
      <c r="D517" s="551">
        <v>195</v>
      </c>
      <c r="E517" s="1276">
        <v>3.52</v>
      </c>
      <c r="F517" s="1294">
        <v>9.8000000000000004E-2</v>
      </c>
      <c r="G517" s="2400">
        <v>2E-3</v>
      </c>
      <c r="H517" s="1298">
        <v>72.58</v>
      </c>
      <c r="I517" s="1359">
        <v>14.41</v>
      </c>
      <c r="J517" s="1359">
        <v>12.03</v>
      </c>
      <c r="K517" s="1359">
        <v>7.367</v>
      </c>
      <c r="L517" s="1359">
        <v>1.3</v>
      </c>
      <c r="M517" s="1359">
        <v>52.75</v>
      </c>
      <c r="N517" s="1359">
        <v>0</v>
      </c>
      <c r="O517" s="2401">
        <v>0</v>
      </c>
      <c r="P517" s="2393">
        <v>0</v>
      </c>
      <c r="Q517" s="589">
        <v>32</v>
      </c>
      <c r="V517" s="44"/>
      <c r="W517" s="44"/>
      <c r="X517" s="789"/>
    </row>
    <row r="518" spans="2:26">
      <c r="B518" s="1530" t="s">
        <v>852</v>
      </c>
      <c r="C518" s="1483" t="s">
        <v>599</v>
      </c>
      <c r="D518" s="561" t="s">
        <v>955</v>
      </c>
      <c r="E518" s="2392">
        <v>6.5</v>
      </c>
      <c r="F518" s="380">
        <v>0.106</v>
      </c>
      <c r="G518" s="380">
        <v>0.16400000000000001</v>
      </c>
      <c r="H518" s="1388">
        <v>140</v>
      </c>
      <c r="I518" s="1359">
        <v>32.956000000000003</v>
      </c>
      <c r="J518" s="1359">
        <v>116.79</v>
      </c>
      <c r="K518" s="1359">
        <v>10.028</v>
      </c>
      <c r="L518" s="1359">
        <v>3.4740000000000002</v>
      </c>
      <c r="M518" s="1359">
        <v>72.206000000000003</v>
      </c>
      <c r="N518" s="1359">
        <v>2.1999999999999999E-2</v>
      </c>
      <c r="O518" s="1359">
        <v>7.7999999999999996E-3</v>
      </c>
      <c r="P518" s="2393">
        <v>0.99</v>
      </c>
      <c r="Q518" s="557">
        <v>65</v>
      </c>
      <c r="V518" s="44"/>
      <c r="W518" s="222"/>
      <c r="X518" s="789"/>
    </row>
    <row r="519" spans="2:26">
      <c r="B519" s="1530" t="s">
        <v>853</v>
      </c>
      <c r="C519" s="556" t="s">
        <v>219</v>
      </c>
      <c r="D519" s="561">
        <v>200</v>
      </c>
      <c r="E519" s="2392">
        <v>0.11600000000000001</v>
      </c>
      <c r="F519" s="380">
        <v>0</v>
      </c>
      <c r="G519" s="380">
        <v>0</v>
      </c>
      <c r="H519" s="1384">
        <v>12</v>
      </c>
      <c r="I519" s="1359">
        <v>39.4054</v>
      </c>
      <c r="J519" s="1359">
        <v>3.44</v>
      </c>
      <c r="K519" s="1359">
        <v>1.68</v>
      </c>
      <c r="L519" s="1359">
        <v>7.9000000000000001E-2</v>
      </c>
      <c r="M519" s="1359">
        <v>0.28399999999999997</v>
      </c>
      <c r="N519" s="1359">
        <v>0</v>
      </c>
      <c r="O519" s="1359">
        <v>0</v>
      </c>
      <c r="P519" s="2393">
        <v>0</v>
      </c>
      <c r="Q519" s="557">
        <v>77</v>
      </c>
      <c r="V519" s="44"/>
      <c r="W519" s="44"/>
      <c r="X519" s="805"/>
    </row>
    <row r="520" spans="2:26">
      <c r="B520" s="1272" t="s">
        <v>10</v>
      </c>
      <c r="C520" s="560" t="s">
        <v>11</v>
      </c>
      <c r="D520" s="561">
        <v>40</v>
      </c>
      <c r="E520" s="2392">
        <v>0.08</v>
      </c>
      <c r="F520" s="380">
        <v>1.6E-2</v>
      </c>
      <c r="G520" s="380">
        <v>1.3299999999999999E-2</v>
      </c>
      <c r="H520" s="1298">
        <v>0</v>
      </c>
      <c r="I520" s="1359">
        <v>63.332999999999998</v>
      </c>
      <c r="J520" s="1359">
        <v>51.6</v>
      </c>
      <c r="K520" s="1359">
        <v>16.399999999999999</v>
      </c>
      <c r="L520" s="1359">
        <v>0.04</v>
      </c>
      <c r="M520" s="2498">
        <v>29.733000000000001</v>
      </c>
      <c r="N520" s="1359">
        <v>0</v>
      </c>
      <c r="O520" s="1359">
        <v>0</v>
      </c>
      <c r="P520" s="1359">
        <v>0</v>
      </c>
      <c r="Q520" s="557">
        <v>11</v>
      </c>
      <c r="V520" s="44"/>
      <c r="W520" s="44"/>
      <c r="X520" s="805"/>
    </row>
    <row r="521" spans="2:26" ht="15.75" thickBot="1">
      <c r="B521" s="1352" t="s">
        <v>10</v>
      </c>
      <c r="C521" s="563" t="s">
        <v>792</v>
      </c>
      <c r="D521" s="574">
        <v>30</v>
      </c>
      <c r="E521" s="2402">
        <v>0</v>
      </c>
      <c r="F521" s="381">
        <v>0.06</v>
      </c>
      <c r="G521" s="381">
        <v>0</v>
      </c>
      <c r="H521" s="1465">
        <v>0</v>
      </c>
      <c r="I521" s="1294">
        <v>24.9</v>
      </c>
      <c r="J521" s="1294">
        <v>58.2</v>
      </c>
      <c r="K521" s="381">
        <v>17.100000000000001</v>
      </c>
      <c r="L521" s="1294">
        <v>0.03</v>
      </c>
      <c r="M521" s="1294">
        <v>43.2</v>
      </c>
      <c r="N521" s="1294">
        <v>8.9999999999999998E-4</v>
      </c>
      <c r="O521" s="1294">
        <v>0</v>
      </c>
      <c r="P521" s="2417">
        <v>0</v>
      </c>
      <c r="Q521" s="589">
        <v>12</v>
      </c>
      <c r="V521" s="792"/>
      <c r="W521" s="793"/>
      <c r="X521" s="2310"/>
      <c r="Y521" s="210"/>
      <c r="Z521" s="22"/>
    </row>
    <row r="522" spans="2:26">
      <c r="B522" s="565" t="s">
        <v>283</v>
      </c>
      <c r="C522" s="168"/>
      <c r="D522" s="2302">
        <f>D516+D517+D519+D520+D521+110+10</f>
        <v>645</v>
      </c>
      <c r="E522" s="566">
        <f>SUM(E516:E521)</f>
        <v>16.215999999999998</v>
      </c>
      <c r="F522" s="1353">
        <f>SUM(F516:F521)</f>
        <v>0.3</v>
      </c>
      <c r="G522" s="1353">
        <f t="shared" ref="G522:P522" si="96">SUM(G516:G521)</f>
        <v>0.1993</v>
      </c>
      <c r="H522" s="1353">
        <f t="shared" si="96"/>
        <v>230.57999999999998</v>
      </c>
      <c r="I522" s="1353">
        <f t="shared" si="96"/>
        <v>188.80440000000002</v>
      </c>
      <c r="J522" s="1353">
        <f t="shared" si="96"/>
        <v>267.06</v>
      </c>
      <c r="K522" s="1353">
        <f t="shared" si="96"/>
        <v>60.975000000000001</v>
      </c>
      <c r="L522" s="1353">
        <f t="shared" si="96"/>
        <v>5.2830000000000004</v>
      </c>
      <c r="M522" s="1353">
        <f t="shared" si="96"/>
        <v>254.87299999999999</v>
      </c>
      <c r="N522" s="1353">
        <f t="shared" si="96"/>
        <v>2.47E-2</v>
      </c>
      <c r="O522" s="1353">
        <f t="shared" si="96"/>
        <v>8.0000000000000002E-3</v>
      </c>
      <c r="P522" s="1389">
        <f t="shared" si="96"/>
        <v>1.0002</v>
      </c>
      <c r="Q522" s="1358"/>
      <c r="V522" s="1289"/>
      <c r="W522" s="1289"/>
      <c r="X522" s="1289"/>
      <c r="Y522" s="1029"/>
      <c r="Z522" s="1"/>
    </row>
    <row r="523" spans="2:26">
      <c r="B523" s="1343"/>
      <c r="C523" s="1344" t="s">
        <v>12</v>
      </c>
      <c r="D523" s="2261">
        <v>0.25</v>
      </c>
      <c r="E523" s="1398">
        <v>17.5</v>
      </c>
      <c r="F523" s="2413">
        <v>0.35</v>
      </c>
      <c r="G523" s="1399">
        <v>0.4</v>
      </c>
      <c r="H523" s="1345">
        <v>225</v>
      </c>
      <c r="I523" s="2413">
        <v>300</v>
      </c>
      <c r="J523" s="1399">
        <v>300</v>
      </c>
      <c r="K523" s="1345">
        <v>75</v>
      </c>
      <c r="L523" s="2413">
        <v>4.5</v>
      </c>
      <c r="M523" s="1346">
        <v>300</v>
      </c>
      <c r="N523" s="2413">
        <v>2.5000000000000001E-2</v>
      </c>
      <c r="O523" s="1399">
        <v>1.2500000000000001E-2</v>
      </c>
      <c r="P523" s="1345">
        <v>1</v>
      </c>
      <c r="Q523" s="1358"/>
      <c r="V523" s="1"/>
      <c r="W523" s="1"/>
      <c r="X523" s="1"/>
      <c r="Y523" s="1"/>
      <c r="Z523" s="1"/>
    </row>
    <row r="524" spans="2:26" ht="15.75" thickBot="1">
      <c r="B524" s="237"/>
      <c r="C524" s="1347" t="s">
        <v>939</v>
      </c>
      <c r="D524" s="1348" t="s">
        <v>280</v>
      </c>
      <c r="E524" s="1416">
        <f>(E522*100/E545)-25</f>
        <v>-1.8342857142857198</v>
      </c>
      <c r="F524" s="1370">
        <f t="shared" ref="F524:O524" si="97">(F522*100/F545)-25</f>
        <v>-3.5714285714285694</v>
      </c>
      <c r="G524" s="1370">
        <f t="shared" si="97"/>
        <v>-12.543750000000001</v>
      </c>
      <c r="H524" s="1370">
        <f t="shared" si="97"/>
        <v>0.62000000000000099</v>
      </c>
      <c r="I524" s="1370">
        <f t="shared" si="97"/>
        <v>-9.2662999999999975</v>
      </c>
      <c r="J524" s="1370">
        <f t="shared" si="97"/>
        <v>-2.745000000000001</v>
      </c>
      <c r="K524" s="1370">
        <f t="shared" si="97"/>
        <v>-4.6750000000000007</v>
      </c>
      <c r="L524" s="1370">
        <f t="shared" si="97"/>
        <v>4.350000000000005</v>
      </c>
      <c r="M524" s="1370">
        <f t="shared" si="97"/>
        <v>-3.7605833333333329</v>
      </c>
      <c r="N524" s="1370">
        <f t="shared" si="97"/>
        <v>-0.30000000000000426</v>
      </c>
      <c r="O524" s="1370">
        <f t="shared" si="97"/>
        <v>-9</v>
      </c>
      <c r="P524" s="1371">
        <f>(P522*100/P545)-25</f>
        <v>4.9999999999990052E-3</v>
      </c>
      <c r="Q524" s="1358"/>
      <c r="R524" s="44"/>
      <c r="V524" s="44"/>
      <c r="W524" s="44"/>
      <c r="X524" s="789"/>
    </row>
    <row r="525" spans="2:26">
      <c r="B525" s="99"/>
      <c r="C525" s="163" t="s">
        <v>152</v>
      </c>
      <c r="D525" s="99"/>
      <c r="E525" s="1471"/>
      <c r="F525" s="2418"/>
      <c r="G525" s="2418"/>
      <c r="H525" s="2418"/>
      <c r="I525" s="2419"/>
      <c r="J525" s="2419"/>
      <c r="K525" s="2466"/>
      <c r="L525" s="2419"/>
      <c r="M525" s="2419"/>
      <c r="N525" s="2419"/>
      <c r="O525" s="2419"/>
      <c r="P525" s="2420"/>
      <c r="Q525" s="1358"/>
      <c r="V525" s="44"/>
      <c r="W525" s="44"/>
      <c r="X525" s="789"/>
    </row>
    <row r="526" spans="2:26">
      <c r="B526" s="2590" t="s">
        <v>360</v>
      </c>
      <c r="C526" s="256" t="s">
        <v>971</v>
      </c>
      <c r="D526" s="551">
        <v>60</v>
      </c>
      <c r="E526" s="1359">
        <v>11.885999999999999</v>
      </c>
      <c r="F526" s="1359">
        <v>1.4E-2</v>
      </c>
      <c r="G526" s="1359">
        <v>1.7000000000000001E-2</v>
      </c>
      <c r="H526" s="1298">
        <v>0</v>
      </c>
      <c r="I526" s="1359">
        <v>31.346</v>
      </c>
      <c r="J526" s="1359">
        <v>20.372</v>
      </c>
      <c r="K526" s="1359">
        <v>9.6069999999999993</v>
      </c>
      <c r="L526" s="1359">
        <v>0.40100000000000002</v>
      </c>
      <c r="M526" s="1359">
        <v>57.4</v>
      </c>
      <c r="N526" s="1359">
        <v>1.24E-2</v>
      </c>
      <c r="O526" s="1359">
        <v>0</v>
      </c>
      <c r="P526" s="1359">
        <v>7.0000000000000007E-2</v>
      </c>
      <c r="Q526" s="589">
        <v>4</v>
      </c>
      <c r="V526" s="44"/>
      <c r="W526" s="222"/>
      <c r="X526" s="789"/>
    </row>
    <row r="527" spans="2:26">
      <c r="B527" s="1530" t="s">
        <v>833</v>
      </c>
      <c r="C527" s="1035" t="s">
        <v>361</v>
      </c>
      <c r="D527" s="551">
        <v>250</v>
      </c>
      <c r="E527" s="2402">
        <v>0.63</v>
      </c>
      <c r="F527" s="381">
        <v>7.8E-2</v>
      </c>
      <c r="G527" s="381">
        <v>7.8E-2</v>
      </c>
      <c r="H527" s="1388">
        <v>16.75</v>
      </c>
      <c r="I527" s="1294">
        <v>40.65</v>
      </c>
      <c r="J527" s="1294">
        <v>106.15</v>
      </c>
      <c r="K527" s="1294">
        <v>10.475</v>
      </c>
      <c r="L527" s="1294">
        <v>1.073</v>
      </c>
      <c r="M527" s="1294">
        <v>86.25</v>
      </c>
      <c r="N527" s="1294">
        <v>2E-3</v>
      </c>
      <c r="O527" s="1294">
        <v>0</v>
      </c>
      <c r="P527" s="2417">
        <v>0.19</v>
      </c>
      <c r="Q527" s="581">
        <v>23</v>
      </c>
      <c r="V527" s="153"/>
      <c r="W527" s="153"/>
      <c r="X527" s="789"/>
    </row>
    <row r="528" spans="2:26">
      <c r="B528" s="1351" t="s">
        <v>494</v>
      </c>
      <c r="C528" s="595" t="s">
        <v>435</v>
      </c>
      <c r="D528" s="551">
        <v>210</v>
      </c>
      <c r="E528" s="2414">
        <v>2E-3</v>
      </c>
      <c r="F528" s="381">
        <v>0.217</v>
      </c>
      <c r="G528" s="2415">
        <v>0.38800000000000001</v>
      </c>
      <c r="H528" s="1465">
        <v>259</v>
      </c>
      <c r="I528" s="1294">
        <v>184.15</v>
      </c>
      <c r="J528" s="2400">
        <v>89.54</v>
      </c>
      <c r="K528" s="1294">
        <v>9.0850000000000009</v>
      </c>
      <c r="L528" s="2400">
        <v>2.2869999999999999</v>
      </c>
      <c r="M528" s="1294">
        <v>70.594999999999999</v>
      </c>
      <c r="N528" s="2400">
        <v>0.01</v>
      </c>
      <c r="O528" s="1294">
        <v>1.35E-2</v>
      </c>
      <c r="P528" s="2417">
        <v>0.85</v>
      </c>
      <c r="Q528" s="589">
        <v>72</v>
      </c>
      <c r="V528" s="44"/>
      <c r="W528" s="44"/>
      <c r="X528" s="789"/>
    </row>
    <row r="529" spans="2:26">
      <c r="B529" s="2589"/>
      <c r="C529" s="986" t="s">
        <v>215</v>
      </c>
      <c r="D529" s="590"/>
      <c r="E529" s="2467"/>
      <c r="F529" s="2397"/>
      <c r="G529" s="2433"/>
      <c r="H529" s="1535"/>
      <c r="I529" s="2397"/>
      <c r="J529" s="2433"/>
      <c r="K529" s="2397"/>
      <c r="L529" s="2433"/>
      <c r="M529" s="2397"/>
      <c r="N529" s="2433"/>
      <c r="O529" s="2397"/>
      <c r="P529" s="2434"/>
      <c r="Q529" s="593"/>
      <c r="V529" s="44"/>
      <c r="W529" s="44"/>
      <c r="X529" s="805"/>
    </row>
    <row r="530" spans="2:26">
      <c r="B530" s="1272" t="s">
        <v>9</v>
      </c>
      <c r="C530" s="556" t="s">
        <v>596</v>
      </c>
      <c r="D530" s="561">
        <v>200</v>
      </c>
      <c r="E530" s="2430">
        <v>2.25</v>
      </c>
      <c r="F530" s="2431">
        <v>0.04</v>
      </c>
      <c r="G530" s="2431">
        <v>0.08</v>
      </c>
      <c r="H530" s="1466">
        <v>134</v>
      </c>
      <c r="I530" s="2397">
        <v>40</v>
      </c>
      <c r="J530" s="2397">
        <v>46</v>
      </c>
      <c r="K530" s="2397">
        <v>15.1</v>
      </c>
      <c r="L530" s="2397">
        <v>0.4</v>
      </c>
      <c r="M530" s="2397">
        <v>38.5</v>
      </c>
      <c r="N530" s="2397">
        <v>0</v>
      </c>
      <c r="O530" s="2397">
        <v>0</v>
      </c>
      <c r="P530" s="2434">
        <v>0</v>
      </c>
      <c r="Q530" s="581">
        <v>76</v>
      </c>
      <c r="V530" s="44"/>
      <c r="W530" s="44"/>
      <c r="X530" s="789"/>
    </row>
    <row r="531" spans="2:26">
      <c r="B531" s="1272" t="s">
        <v>10</v>
      </c>
      <c r="C531" s="556" t="s">
        <v>11</v>
      </c>
      <c r="D531" s="561">
        <v>60</v>
      </c>
      <c r="E531" s="2392">
        <v>0.12</v>
      </c>
      <c r="F531" s="380">
        <v>0.02</v>
      </c>
      <c r="G531" s="380">
        <v>0.02</v>
      </c>
      <c r="H531" s="1298">
        <v>0</v>
      </c>
      <c r="I531" s="1359">
        <v>95</v>
      </c>
      <c r="J531" s="1359">
        <v>77.400000000000006</v>
      </c>
      <c r="K531" s="1359">
        <v>24.6</v>
      </c>
      <c r="L531" s="2393">
        <v>0.06</v>
      </c>
      <c r="M531" s="2469">
        <v>44.6</v>
      </c>
      <c r="N531" s="1359">
        <v>0</v>
      </c>
      <c r="O531" s="1359">
        <v>0</v>
      </c>
      <c r="P531" s="1359">
        <v>0</v>
      </c>
      <c r="Q531" s="557">
        <v>11</v>
      </c>
      <c r="V531" s="152"/>
      <c r="W531" s="44"/>
      <c r="X531" s="789"/>
    </row>
    <row r="532" spans="2:26">
      <c r="B532" s="1351" t="s">
        <v>10</v>
      </c>
      <c r="C532" s="595" t="s">
        <v>792</v>
      </c>
      <c r="D532" s="551">
        <v>50</v>
      </c>
      <c r="E532" s="2402">
        <v>0</v>
      </c>
      <c r="F532" s="381">
        <v>0.1</v>
      </c>
      <c r="G532" s="381">
        <v>0</v>
      </c>
      <c r="H532" s="1465">
        <v>0</v>
      </c>
      <c r="I532" s="242">
        <v>41.5</v>
      </c>
      <c r="J532" s="242">
        <v>75.98</v>
      </c>
      <c r="K532" s="242">
        <v>22.8</v>
      </c>
      <c r="L532" s="242">
        <v>0.05</v>
      </c>
      <c r="M532" s="1359">
        <v>72</v>
      </c>
      <c r="N532" s="1359">
        <v>1.25E-3</v>
      </c>
      <c r="O532" s="1359">
        <v>0</v>
      </c>
      <c r="P532" s="2412">
        <v>0</v>
      </c>
      <c r="Q532" s="572">
        <v>12</v>
      </c>
      <c r="V532" s="792"/>
      <c r="W532" s="793"/>
      <c r="X532" s="2310"/>
      <c r="Y532" s="210"/>
      <c r="Z532" s="22"/>
    </row>
    <row r="533" spans="2:26" ht="15.75" thickBot="1">
      <c r="B533" s="2560" t="s">
        <v>1004</v>
      </c>
      <c r="C533" s="563" t="s">
        <v>1003</v>
      </c>
      <c r="D533" s="574">
        <v>110</v>
      </c>
      <c r="E533" s="1416">
        <v>11</v>
      </c>
      <c r="F533" s="1370">
        <v>2.4199999999999999E-2</v>
      </c>
      <c r="G533" s="1370">
        <v>2.1999999999999999E-2</v>
      </c>
      <c r="H533" s="2457">
        <v>5.5</v>
      </c>
      <c r="I533" s="1370">
        <v>17.600000000000001</v>
      </c>
      <c r="J533" s="1359">
        <v>12.1</v>
      </c>
      <c r="K533" s="1359">
        <v>9.9</v>
      </c>
      <c r="L533" s="2393">
        <v>2.13</v>
      </c>
      <c r="M533" s="1359">
        <v>58.19</v>
      </c>
      <c r="N533" s="1359">
        <v>0.01</v>
      </c>
      <c r="O533" s="1359">
        <v>0</v>
      </c>
      <c r="P533" s="2412">
        <v>0.29699999999999999</v>
      </c>
      <c r="Q533" s="627">
        <v>73</v>
      </c>
      <c r="V533" s="1289"/>
      <c r="W533" s="1289"/>
      <c r="X533" s="1289"/>
      <c r="Y533" s="1029"/>
      <c r="Z533" s="1"/>
    </row>
    <row r="534" spans="2:26">
      <c r="B534" s="565" t="s">
        <v>269</v>
      </c>
      <c r="C534" s="2299"/>
      <c r="D534" s="2315">
        <f>SUM(D526:D533)</f>
        <v>940</v>
      </c>
      <c r="E534" s="575">
        <f t="shared" ref="E534:P534" si="98">SUM(E526:E533)</f>
        <v>25.887999999999998</v>
      </c>
      <c r="F534" s="1353">
        <f t="shared" si="98"/>
        <v>0.49319999999999997</v>
      </c>
      <c r="G534" s="1353">
        <f t="shared" si="98"/>
        <v>0.60499999999999998</v>
      </c>
      <c r="H534" s="1353">
        <f>SUM(H526:H533)</f>
        <v>415.25</v>
      </c>
      <c r="I534" s="1353">
        <f t="shared" si="98"/>
        <v>450.24600000000004</v>
      </c>
      <c r="J534" s="1353">
        <f t="shared" si="98"/>
        <v>427.54200000000003</v>
      </c>
      <c r="K534" s="1353">
        <f t="shared" si="98"/>
        <v>101.56700000000001</v>
      </c>
      <c r="L534" s="1353">
        <f t="shared" si="98"/>
        <v>6.4009999999999998</v>
      </c>
      <c r="M534" s="1353">
        <f t="shared" si="98"/>
        <v>427.53500000000003</v>
      </c>
      <c r="N534" s="1353">
        <f t="shared" si="98"/>
        <v>3.5650000000000001E-2</v>
      </c>
      <c r="O534" s="1353">
        <f t="shared" si="98"/>
        <v>1.35E-2</v>
      </c>
      <c r="P534" s="1389">
        <f t="shared" si="98"/>
        <v>1.4069999999999998</v>
      </c>
      <c r="Q534" s="1358"/>
      <c r="V534" s="1"/>
      <c r="W534" s="1"/>
      <c r="X534" s="1"/>
      <c r="Y534" s="1"/>
      <c r="Z534" s="1"/>
    </row>
    <row r="535" spans="2:26">
      <c r="B535" s="1343"/>
      <c r="C535" s="1344" t="s">
        <v>12</v>
      </c>
      <c r="D535" s="2261">
        <v>0.35</v>
      </c>
      <c r="E535" s="1355">
        <v>24.5</v>
      </c>
      <c r="F535" s="1365">
        <v>0.49</v>
      </c>
      <c r="G535" s="1364">
        <v>0.56000000000000005</v>
      </c>
      <c r="H535" s="1363">
        <v>315</v>
      </c>
      <c r="I535" s="1365">
        <v>420</v>
      </c>
      <c r="J535" s="1364">
        <v>420</v>
      </c>
      <c r="K535" s="1363">
        <v>105</v>
      </c>
      <c r="L535" s="1365">
        <v>6.3</v>
      </c>
      <c r="M535" s="1369">
        <v>420</v>
      </c>
      <c r="N535" s="1365">
        <v>3.5000000000000003E-2</v>
      </c>
      <c r="O535" s="1364">
        <v>1.7500000000000002E-2</v>
      </c>
      <c r="P535" s="1363">
        <v>1.4</v>
      </c>
      <c r="Q535" s="1358"/>
      <c r="V535" s="44"/>
      <c r="W535" s="222"/>
      <c r="X535" s="789"/>
      <c r="Z535" s="788"/>
    </row>
    <row r="536" spans="2:26" ht="15.75" thickBot="1">
      <c r="B536" s="237"/>
      <c r="C536" s="1347" t="s">
        <v>939</v>
      </c>
      <c r="D536" s="1348" t="s">
        <v>280</v>
      </c>
      <c r="E536" s="1416">
        <f>(E534*100/E545)-35</f>
        <v>1.9828571428571422</v>
      </c>
      <c r="F536" s="1370">
        <f t="shared" ref="F536:O536" si="99">(F534*100/F545)-35</f>
        <v>0.22857142857142776</v>
      </c>
      <c r="G536" s="1370">
        <f t="shared" si="99"/>
        <v>2.8125</v>
      </c>
      <c r="H536" s="1370">
        <f t="shared" si="99"/>
        <v>11.138888888888886</v>
      </c>
      <c r="I536" s="1370">
        <f t="shared" si="99"/>
        <v>2.5205000000000055</v>
      </c>
      <c r="J536" s="1370">
        <f t="shared" si="99"/>
        <v>0.6285000000000025</v>
      </c>
      <c r="K536" s="1370">
        <f t="shared" si="99"/>
        <v>-1.1443333333333285</v>
      </c>
      <c r="L536" s="1370">
        <f t="shared" si="99"/>
        <v>0.56111111111111001</v>
      </c>
      <c r="M536" s="1370">
        <f t="shared" si="99"/>
        <v>0.62791666666666401</v>
      </c>
      <c r="N536" s="1370">
        <f t="shared" si="99"/>
        <v>0.64999999999999858</v>
      </c>
      <c r="O536" s="1370">
        <f t="shared" si="99"/>
        <v>-8</v>
      </c>
      <c r="P536" s="1371">
        <f>(P534*100/P545)-35</f>
        <v>0.17499999999999716</v>
      </c>
      <c r="Q536" s="1358"/>
      <c r="V536" s="44"/>
      <c r="W536" s="44"/>
      <c r="X536" s="789"/>
      <c r="Z536" s="721"/>
    </row>
    <row r="537" spans="2:26">
      <c r="B537" s="600"/>
      <c r="C537" s="162" t="s">
        <v>324</v>
      </c>
      <c r="D537" s="99"/>
      <c r="E537" s="2422"/>
      <c r="F537" s="1390"/>
      <c r="G537" s="1390"/>
      <c r="H537" s="1390"/>
      <c r="I537" s="2423"/>
      <c r="J537" s="2423"/>
      <c r="K537" s="2468"/>
      <c r="L537" s="2423"/>
      <c r="M537" s="2423"/>
      <c r="N537" s="2423"/>
      <c r="O537" s="2423"/>
      <c r="P537" s="2424"/>
      <c r="Q537" s="1358"/>
      <c r="V537" s="44"/>
      <c r="W537" s="44"/>
      <c r="X537" s="789"/>
      <c r="Z537" s="721"/>
    </row>
    <row r="538" spans="2:26">
      <c r="B538" s="1473" t="s">
        <v>853</v>
      </c>
      <c r="C538" s="556" t="s">
        <v>219</v>
      </c>
      <c r="D538" s="561">
        <v>200</v>
      </c>
      <c r="E538" s="2392">
        <v>0.1192</v>
      </c>
      <c r="F538" s="380">
        <v>0</v>
      </c>
      <c r="G538" s="380">
        <v>0</v>
      </c>
      <c r="H538" s="1384">
        <v>14.4</v>
      </c>
      <c r="I538" s="1359">
        <v>47.245399999999997</v>
      </c>
      <c r="J538" s="1359">
        <v>4.1280000000000001</v>
      </c>
      <c r="K538" s="1359">
        <v>2.016</v>
      </c>
      <c r="L538" s="1359">
        <v>8.1000000000000003E-2</v>
      </c>
      <c r="M538" s="1359">
        <v>0.14199999999999999</v>
      </c>
      <c r="N538" s="1359">
        <v>0</v>
      </c>
      <c r="O538" s="1359">
        <v>0</v>
      </c>
      <c r="P538" s="2393">
        <v>0</v>
      </c>
      <c r="Q538" s="557">
        <v>79</v>
      </c>
      <c r="V538" s="792"/>
      <c r="W538" s="793"/>
      <c r="X538" s="2310"/>
      <c r="Y538" s="210"/>
      <c r="Z538" s="22"/>
    </row>
    <row r="539" spans="2:26">
      <c r="B539" s="1527" t="s">
        <v>1001</v>
      </c>
      <c r="C539" s="595" t="s">
        <v>464</v>
      </c>
      <c r="D539" s="551" t="s">
        <v>955</v>
      </c>
      <c r="E539" s="2392">
        <v>3.38</v>
      </c>
      <c r="F539" s="380">
        <v>0.111</v>
      </c>
      <c r="G539" s="380">
        <v>0.14000000000000001</v>
      </c>
      <c r="H539" s="1384">
        <v>33.76</v>
      </c>
      <c r="I539" s="1359">
        <v>37.414999999999999</v>
      </c>
      <c r="J539" s="1359">
        <v>59.92</v>
      </c>
      <c r="K539" s="380">
        <v>11.91</v>
      </c>
      <c r="L539" s="1359">
        <v>2.117</v>
      </c>
      <c r="M539" s="1359">
        <v>27.395</v>
      </c>
      <c r="N539" s="2401">
        <v>8.9999999999999993E-3</v>
      </c>
      <c r="O539" s="1359">
        <v>5.0000000000000001E-3</v>
      </c>
      <c r="P539" s="2393">
        <v>0.62</v>
      </c>
      <c r="Q539" s="557">
        <v>66</v>
      </c>
    </row>
    <row r="540" spans="2:26" ht="15.75" thickBot="1">
      <c r="B540" s="1352" t="s">
        <v>10</v>
      </c>
      <c r="C540" s="563" t="s">
        <v>792</v>
      </c>
      <c r="D540" s="574">
        <v>30</v>
      </c>
      <c r="E540" s="2402">
        <v>0</v>
      </c>
      <c r="F540" s="381">
        <v>0.06</v>
      </c>
      <c r="G540" s="381">
        <v>0</v>
      </c>
      <c r="H540" s="1465">
        <v>0</v>
      </c>
      <c r="I540" s="1294">
        <v>24.9</v>
      </c>
      <c r="J540" s="1294">
        <v>58.2</v>
      </c>
      <c r="K540" s="381">
        <v>17.100000000000001</v>
      </c>
      <c r="L540" s="1294">
        <v>0.03</v>
      </c>
      <c r="M540" s="1294">
        <v>43.2</v>
      </c>
      <c r="N540" s="1294">
        <v>8.9999999999999998E-4</v>
      </c>
      <c r="O540" s="1294">
        <v>0</v>
      </c>
      <c r="P540" s="2417">
        <v>0</v>
      </c>
      <c r="Q540" s="1281">
        <v>12</v>
      </c>
    </row>
    <row r="541" spans="2:26">
      <c r="B541" s="565" t="s">
        <v>357</v>
      </c>
      <c r="C541" s="2299"/>
      <c r="D541" s="2315">
        <f>D538+D540+110+10</f>
        <v>350</v>
      </c>
      <c r="E541" s="575">
        <f>SUM(E538:E540)</f>
        <v>3.4992000000000001</v>
      </c>
      <c r="F541" s="1353">
        <f>SUM(F538:F540)</f>
        <v>0.17099999999999999</v>
      </c>
      <c r="G541" s="1353">
        <f t="shared" ref="G541:P541" si="100">SUM(G538:G540)</f>
        <v>0.14000000000000001</v>
      </c>
      <c r="H541" s="1353">
        <f>SUM(H538:H540)</f>
        <v>48.16</v>
      </c>
      <c r="I541" s="1353">
        <f t="shared" si="100"/>
        <v>109.56039999999999</v>
      </c>
      <c r="J541" s="1353">
        <f t="shared" si="100"/>
        <v>122.248</v>
      </c>
      <c r="K541" s="1353">
        <f t="shared" si="100"/>
        <v>31.026000000000003</v>
      </c>
      <c r="L541" s="1353">
        <f t="shared" si="100"/>
        <v>2.2279999999999998</v>
      </c>
      <c r="M541" s="1353">
        <f t="shared" si="100"/>
        <v>70.736999999999995</v>
      </c>
      <c r="N541" s="1353">
        <f t="shared" si="100"/>
        <v>9.8999999999999991E-3</v>
      </c>
      <c r="O541" s="1353">
        <f t="shared" si="100"/>
        <v>5.0000000000000001E-3</v>
      </c>
      <c r="P541" s="1405">
        <f t="shared" si="100"/>
        <v>0.62</v>
      </c>
      <c r="Q541" s="360"/>
    </row>
    <row r="542" spans="2:26" ht="15.75" thickBot="1">
      <c r="B542" s="1343"/>
      <c r="C542" s="1344" t="s">
        <v>12</v>
      </c>
      <c r="D542" s="2261">
        <v>0.1</v>
      </c>
      <c r="E542" s="1422">
        <v>7</v>
      </c>
      <c r="F542" s="1423">
        <v>0.14000000000000001</v>
      </c>
      <c r="G542" s="1424">
        <v>0.16</v>
      </c>
      <c r="H542" s="1461">
        <v>90</v>
      </c>
      <c r="I542" s="1423">
        <v>120</v>
      </c>
      <c r="J542" s="1424">
        <v>120</v>
      </c>
      <c r="K542" s="1461">
        <v>30</v>
      </c>
      <c r="L542" s="1423">
        <v>1.8</v>
      </c>
      <c r="M542" s="2445">
        <v>120</v>
      </c>
      <c r="N542" s="1423">
        <v>0.01</v>
      </c>
      <c r="O542" s="1424">
        <v>5.0000000000000001E-3</v>
      </c>
      <c r="P542" s="1425">
        <v>0.4</v>
      </c>
      <c r="Q542" s="360"/>
    </row>
    <row r="543" spans="2:26" ht="15.75" thickBot="1">
      <c r="B543" s="237"/>
      <c r="C543" s="1347" t="s">
        <v>939</v>
      </c>
      <c r="D543" s="1348" t="s">
        <v>280</v>
      </c>
      <c r="E543" s="1416">
        <f>(E541*100/E545)-10</f>
        <v>-5.0011428571428569</v>
      </c>
      <c r="F543" s="1370">
        <f t="shared" ref="F543:O543" si="101">(F541*100/F545)-10</f>
        <v>2.2142857142857135</v>
      </c>
      <c r="G543" s="1370">
        <f t="shared" si="101"/>
        <v>-1.25</v>
      </c>
      <c r="H543" s="1370">
        <f t="shared" si="101"/>
        <v>-4.6488888888888891</v>
      </c>
      <c r="I543" s="1370">
        <f t="shared" si="101"/>
        <v>-0.86996666666666833</v>
      </c>
      <c r="J543" s="1370">
        <f t="shared" si="101"/>
        <v>0.18733333333333491</v>
      </c>
      <c r="K543" s="1370">
        <f t="shared" si="101"/>
        <v>0.34200000000000053</v>
      </c>
      <c r="L543" s="1370">
        <f t="shared" si="101"/>
        <v>2.3777777777777764</v>
      </c>
      <c r="M543" s="1370">
        <f t="shared" si="101"/>
        <v>-4.1052499999999998</v>
      </c>
      <c r="N543" s="1370">
        <f t="shared" si="101"/>
        <v>-0.10000000000000142</v>
      </c>
      <c r="O543" s="1370">
        <f t="shared" si="101"/>
        <v>0</v>
      </c>
      <c r="P543" s="1371">
        <f>(P541*100/P545)-10</f>
        <v>5.5</v>
      </c>
      <c r="Q543" s="360"/>
    </row>
    <row r="544" spans="2:26" ht="15.75" thickBot="1"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4"/>
      <c r="Q544" s="360"/>
    </row>
    <row r="545" spans="2:17" ht="15.75" thickBot="1">
      <c r="B545" s="2369" t="s">
        <v>959</v>
      </c>
      <c r="C545" s="2262"/>
      <c r="D545" s="2263">
        <v>1</v>
      </c>
      <c r="E545" s="2407">
        <v>70</v>
      </c>
      <c r="F545" s="2408">
        <v>1.4</v>
      </c>
      <c r="G545" s="2408">
        <v>1.6</v>
      </c>
      <c r="H545" s="2264">
        <v>900</v>
      </c>
      <c r="I545" s="2405">
        <v>1200</v>
      </c>
      <c r="J545" s="2406">
        <v>1200</v>
      </c>
      <c r="K545" s="2406">
        <v>300</v>
      </c>
      <c r="L545" s="2409">
        <v>18</v>
      </c>
      <c r="M545" s="2405">
        <v>1200</v>
      </c>
      <c r="N545" s="2409">
        <v>0.1</v>
      </c>
      <c r="O545" s="2409">
        <v>0.05</v>
      </c>
      <c r="P545" s="2410">
        <v>4</v>
      </c>
      <c r="Q545" s="360"/>
    </row>
    <row r="546" spans="2:17" ht="15.75" thickBot="1"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360"/>
    </row>
    <row r="547" spans="2:17">
      <c r="B547" s="1021"/>
      <c r="C547" s="34" t="s">
        <v>481</v>
      </c>
      <c r="D547" s="35"/>
      <c r="E547" s="145">
        <f>E522+E534</f>
        <v>42.103999999999999</v>
      </c>
      <c r="F547" s="243">
        <f t="shared" ref="F547:P547" si="102">F522+F534</f>
        <v>0.79319999999999991</v>
      </c>
      <c r="G547" s="243">
        <f t="shared" si="102"/>
        <v>0.80430000000000001</v>
      </c>
      <c r="H547" s="243">
        <f t="shared" si="102"/>
        <v>645.82999999999993</v>
      </c>
      <c r="I547" s="243">
        <f t="shared" si="102"/>
        <v>639.05040000000008</v>
      </c>
      <c r="J547" s="243">
        <f t="shared" si="102"/>
        <v>694.60200000000009</v>
      </c>
      <c r="K547" s="243">
        <f t="shared" si="102"/>
        <v>162.542</v>
      </c>
      <c r="L547" s="243">
        <f t="shared" si="102"/>
        <v>11.684000000000001</v>
      </c>
      <c r="M547" s="243">
        <f t="shared" si="102"/>
        <v>682.40800000000002</v>
      </c>
      <c r="N547" s="243">
        <f t="shared" si="102"/>
        <v>6.0350000000000001E-2</v>
      </c>
      <c r="O547" s="243">
        <f t="shared" si="102"/>
        <v>2.1499999999999998E-2</v>
      </c>
      <c r="P547" s="1024">
        <f t="shared" si="102"/>
        <v>2.4071999999999996</v>
      </c>
      <c r="Q547" s="360"/>
    </row>
    <row r="548" spans="2:17">
      <c r="B548" s="513"/>
      <c r="C548" s="1368" t="s">
        <v>12</v>
      </c>
      <c r="D548" s="2261">
        <v>0.6</v>
      </c>
      <c r="E548" s="1355">
        <v>42</v>
      </c>
      <c r="F548" s="1365">
        <v>0.84</v>
      </c>
      <c r="G548" s="1364">
        <v>0.96</v>
      </c>
      <c r="H548" s="1363">
        <v>540</v>
      </c>
      <c r="I548" s="1365">
        <v>720</v>
      </c>
      <c r="J548" s="1364">
        <v>720</v>
      </c>
      <c r="K548" s="1363">
        <v>180</v>
      </c>
      <c r="L548" s="1365">
        <v>10.8</v>
      </c>
      <c r="M548" s="1369">
        <v>720</v>
      </c>
      <c r="N548" s="1365">
        <v>0.06</v>
      </c>
      <c r="O548" s="1364">
        <v>0.03</v>
      </c>
      <c r="P548" s="1366">
        <v>2.4</v>
      </c>
      <c r="Q548" s="360"/>
    </row>
    <row r="549" spans="2:17" ht="15.75" thickBot="1">
      <c r="B549" s="237"/>
      <c r="C549" s="1347" t="s">
        <v>939</v>
      </c>
      <c r="D549" s="1348" t="s">
        <v>280</v>
      </c>
      <c r="E549" s="1416">
        <f>(E547*100/E545)-60</f>
        <v>0.14857142857142236</v>
      </c>
      <c r="F549" s="1370">
        <f t="shared" ref="F549:O549" si="103">(F547*100/F545)-60</f>
        <v>-3.3428571428571416</v>
      </c>
      <c r="G549" s="1370">
        <f t="shared" si="103"/>
        <v>-9.7312499999999957</v>
      </c>
      <c r="H549" s="1370">
        <f t="shared" si="103"/>
        <v>11.758888888888876</v>
      </c>
      <c r="I549" s="1370">
        <f t="shared" si="103"/>
        <v>-6.7457999999999956</v>
      </c>
      <c r="J549" s="1370">
        <f t="shared" si="103"/>
        <v>-2.1164999999999878</v>
      </c>
      <c r="K549" s="1370">
        <f t="shared" si="103"/>
        <v>-5.8193333333333328</v>
      </c>
      <c r="L549" s="1370">
        <f t="shared" si="103"/>
        <v>4.9111111111111114</v>
      </c>
      <c r="M549" s="1370">
        <f t="shared" si="103"/>
        <v>-3.1326666666666654</v>
      </c>
      <c r="N549" s="1370">
        <f t="shared" si="103"/>
        <v>0.35000000000000142</v>
      </c>
      <c r="O549" s="1370">
        <f t="shared" si="103"/>
        <v>-17.000000000000007</v>
      </c>
      <c r="P549" s="1371">
        <f>(P547*100/P545)-60</f>
        <v>0.17999999999999261</v>
      </c>
      <c r="Q549" s="360"/>
    </row>
    <row r="550" spans="2:17" ht="15.75" thickBot="1"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360"/>
    </row>
    <row r="551" spans="2:17">
      <c r="B551" s="1021"/>
      <c r="C551" s="34" t="s">
        <v>480</v>
      </c>
      <c r="D551" s="35"/>
      <c r="E551" s="145">
        <f>E534+E541</f>
        <v>29.3872</v>
      </c>
      <c r="F551" s="243">
        <f>F534+F541</f>
        <v>0.6641999999999999</v>
      </c>
      <c r="G551" s="243">
        <f t="shared" ref="G551:P551" si="104">G534+G541</f>
        <v>0.745</v>
      </c>
      <c r="H551" s="243">
        <f t="shared" si="104"/>
        <v>463.40999999999997</v>
      </c>
      <c r="I551" s="243">
        <f t="shared" si="104"/>
        <v>559.80640000000005</v>
      </c>
      <c r="J551" s="243">
        <f t="shared" si="104"/>
        <v>549.79000000000008</v>
      </c>
      <c r="K551" s="243">
        <f t="shared" si="104"/>
        <v>132.59300000000002</v>
      </c>
      <c r="L551" s="243">
        <f t="shared" si="104"/>
        <v>8.6289999999999996</v>
      </c>
      <c r="M551" s="243">
        <f t="shared" si="104"/>
        <v>498.27200000000005</v>
      </c>
      <c r="N551" s="243">
        <f t="shared" si="104"/>
        <v>4.555E-2</v>
      </c>
      <c r="O551" s="243">
        <f t="shared" si="104"/>
        <v>1.8499999999999999E-2</v>
      </c>
      <c r="P551" s="1024">
        <f t="shared" si="104"/>
        <v>2.0269999999999997</v>
      </c>
      <c r="Q551" s="360"/>
    </row>
    <row r="552" spans="2:17">
      <c r="B552" s="513"/>
      <c r="C552" s="1368" t="s">
        <v>12</v>
      </c>
      <c r="D552" s="2261">
        <v>0.45</v>
      </c>
      <c r="E552" s="1355">
        <v>31.5</v>
      </c>
      <c r="F552" s="1365">
        <v>0.63</v>
      </c>
      <c r="G552" s="1364">
        <v>0.72</v>
      </c>
      <c r="H552" s="1364">
        <v>405</v>
      </c>
      <c r="I552" s="1365">
        <v>540</v>
      </c>
      <c r="J552" s="1364">
        <v>540</v>
      </c>
      <c r="K552" s="1364">
        <v>135</v>
      </c>
      <c r="L552" s="1365">
        <v>8.1</v>
      </c>
      <c r="M552" s="1365">
        <v>540</v>
      </c>
      <c r="N552" s="1365">
        <v>4.4999999999999998E-2</v>
      </c>
      <c r="O552" s="1364">
        <v>2.2499999999999999E-2</v>
      </c>
      <c r="P552" s="1366">
        <v>1.8</v>
      </c>
      <c r="Q552" s="360"/>
    </row>
    <row r="553" spans="2:17" ht="15.75" thickBot="1">
      <c r="B553" s="237"/>
      <c r="C553" s="1347" t="s">
        <v>939</v>
      </c>
      <c r="D553" s="1348" t="s">
        <v>280</v>
      </c>
      <c r="E553" s="1416">
        <f>(E551*100/E545)-45</f>
        <v>-3.0182857142857173</v>
      </c>
      <c r="F553" s="1370">
        <f t="shared" ref="F553:O553" si="105">(F551*100/F545)-45</f>
        <v>2.442857142857136</v>
      </c>
      <c r="G553" s="1370">
        <f t="shared" si="105"/>
        <v>1.5625</v>
      </c>
      <c r="H553" s="1370">
        <f t="shared" si="105"/>
        <v>6.490000000000002</v>
      </c>
      <c r="I553" s="1370">
        <f t="shared" si="105"/>
        <v>1.6505333333333354</v>
      </c>
      <c r="J553" s="1370">
        <f t="shared" si="105"/>
        <v>0.81583333333333741</v>
      </c>
      <c r="K553" s="1370">
        <f t="shared" si="105"/>
        <v>-0.80233333333332979</v>
      </c>
      <c r="L553" s="1370">
        <f t="shared" si="105"/>
        <v>2.93888888888889</v>
      </c>
      <c r="M553" s="1370">
        <f t="shared" si="105"/>
        <v>-3.4773333333333269</v>
      </c>
      <c r="N553" s="1370">
        <f t="shared" si="105"/>
        <v>0.54999999999999716</v>
      </c>
      <c r="O553" s="1370">
        <f t="shared" si="105"/>
        <v>-8.0000000000000071</v>
      </c>
      <c r="P553" s="1371">
        <f>(P551*100/P545)-45</f>
        <v>5.6749999999999901</v>
      </c>
      <c r="Q553" s="360"/>
    </row>
    <row r="554" spans="2:17" ht="15.75" thickBot="1">
      <c r="E554" s="194"/>
      <c r="F554" s="194"/>
      <c r="G554" s="194"/>
      <c r="H554" s="194"/>
      <c r="I554" s="194"/>
      <c r="J554" s="194"/>
      <c r="K554" s="207"/>
      <c r="L554" s="194"/>
      <c r="M554" s="194"/>
      <c r="N554" s="194"/>
      <c r="O554" s="194"/>
      <c r="P554" s="207"/>
      <c r="Q554" s="360"/>
    </row>
    <row r="555" spans="2:17">
      <c r="B555" s="1372" t="s">
        <v>741</v>
      </c>
      <c r="C555" s="34"/>
      <c r="D555" s="35"/>
      <c r="E555" s="1408">
        <f>E522+E534+E541</f>
        <v>45.603200000000001</v>
      </c>
      <c r="F555" s="1361">
        <f t="shared" ref="F555:P555" si="106">F522+F534+F541</f>
        <v>0.96419999999999995</v>
      </c>
      <c r="G555" s="1361">
        <f t="shared" si="106"/>
        <v>0.94430000000000003</v>
      </c>
      <c r="H555" s="1361">
        <f t="shared" si="106"/>
        <v>693.9899999999999</v>
      </c>
      <c r="I555" s="1361">
        <f t="shared" si="106"/>
        <v>748.61080000000004</v>
      </c>
      <c r="J555" s="1361">
        <f t="shared" si="106"/>
        <v>816.85000000000014</v>
      </c>
      <c r="K555" s="1361">
        <f t="shared" si="106"/>
        <v>193.56800000000001</v>
      </c>
      <c r="L555" s="1361">
        <f t="shared" si="106"/>
        <v>13.912000000000001</v>
      </c>
      <c r="M555" s="1361">
        <f t="shared" si="106"/>
        <v>753.14499999999998</v>
      </c>
      <c r="N555" s="1361">
        <f t="shared" si="106"/>
        <v>7.0250000000000007E-2</v>
      </c>
      <c r="O555" s="1361">
        <f t="shared" si="106"/>
        <v>2.6499999999999999E-2</v>
      </c>
      <c r="P555" s="1409">
        <f t="shared" si="106"/>
        <v>3.0271999999999997</v>
      </c>
      <c r="Q555" s="360"/>
    </row>
    <row r="556" spans="2:17" ht="14.25" customHeight="1">
      <c r="B556" s="1343"/>
      <c r="C556" s="1344" t="s">
        <v>12</v>
      </c>
      <c r="D556" s="2261">
        <v>0.7</v>
      </c>
      <c r="E556" s="1355">
        <v>49</v>
      </c>
      <c r="F556" s="1365">
        <v>0.98</v>
      </c>
      <c r="G556" s="1364">
        <v>1.1200000000000001</v>
      </c>
      <c r="H556" s="1364">
        <v>630</v>
      </c>
      <c r="I556" s="1365">
        <v>840</v>
      </c>
      <c r="J556" s="1364">
        <v>840</v>
      </c>
      <c r="K556" s="1364">
        <v>210</v>
      </c>
      <c r="L556" s="1365">
        <v>12.6</v>
      </c>
      <c r="M556" s="1365">
        <v>840</v>
      </c>
      <c r="N556" s="1365">
        <v>7.0000000000000007E-2</v>
      </c>
      <c r="O556" s="1364">
        <v>3.5000000000000003E-2</v>
      </c>
      <c r="P556" s="1366">
        <v>2.8</v>
      </c>
      <c r="Q556" s="360"/>
    </row>
    <row r="557" spans="2:17" ht="15.75" thickBot="1">
      <c r="B557" s="237"/>
      <c r="C557" s="1347" t="s">
        <v>939</v>
      </c>
      <c r="D557" s="1348" t="s">
        <v>280</v>
      </c>
      <c r="E557" s="1416">
        <f>(E555*100/E545)-70</f>
        <v>-4.8525714285714372</v>
      </c>
      <c r="F557" s="1370">
        <f t="shared" ref="F557:O557" si="107">(F555*100/F545)-70</f>
        <v>-1.1285714285714334</v>
      </c>
      <c r="G557" s="1370">
        <f t="shared" si="107"/>
        <v>-10.981249999999996</v>
      </c>
      <c r="H557" s="1370">
        <f t="shared" si="107"/>
        <v>7.1099999999999852</v>
      </c>
      <c r="I557" s="1370">
        <f t="shared" si="107"/>
        <v>-7.6157666666666657</v>
      </c>
      <c r="J557" s="1370">
        <f t="shared" si="107"/>
        <v>-1.92916666666666</v>
      </c>
      <c r="K557" s="1370">
        <f t="shared" si="107"/>
        <v>-5.4773333333333198</v>
      </c>
      <c r="L557" s="1370">
        <f t="shared" si="107"/>
        <v>7.2888888888888914</v>
      </c>
      <c r="M557" s="1370">
        <f t="shared" si="107"/>
        <v>-7.2379166666666634</v>
      </c>
      <c r="N557" s="1370">
        <f t="shared" si="107"/>
        <v>0.25</v>
      </c>
      <c r="O557" s="1370">
        <f t="shared" si="107"/>
        <v>-17.000000000000007</v>
      </c>
      <c r="P557" s="1371">
        <f>(P555*100/P545)-70</f>
        <v>5.6799999999999926</v>
      </c>
      <c r="Q557" s="360"/>
    </row>
    <row r="558" spans="2:17">
      <c r="P558"/>
      <c r="Q558" s="360"/>
    </row>
    <row r="559" spans="2:17" ht="18.75" customHeight="1">
      <c r="C559" s="1300" t="s">
        <v>695</v>
      </c>
      <c r="D559"/>
      <c r="E559" s="32"/>
      <c r="K559" s="385"/>
      <c r="P559"/>
      <c r="Q559" s="360"/>
    </row>
    <row r="560" spans="2:17">
      <c r="C560" s="7" t="s">
        <v>754</v>
      </c>
      <c r="D560" s="8"/>
      <c r="E560" s="2"/>
      <c r="K560"/>
      <c r="P560"/>
      <c r="Q560" s="360"/>
    </row>
    <row r="561" spans="2:26">
      <c r="C561" s="1" t="s">
        <v>359</v>
      </c>
      <c r="D561"/>
      <c r="E561"/>
      <c r="F561"/>
      <c r="K561" s="63"/>
      <c r="P561"/>
      <c r="Q561" s="360"/>
    </row>
    <row r="562" spans="2:26">
      <c r="C562" s="19" t="s">
        <v>282</v>
      </c>
      <c r="E562"/>
      <c r="F562"/>
      <c r="G562" s="19"/>
      <c r="H562" s="19"/>
      <c r="K562" s="119"/>
      <c r="P562"/>
      <c r="Q562" s="360"/>
    </row>
    <row r="563" spans="2:26" ht="15.75">
      <c r="C563" s="1300" t="s">
        <v>694</v>
      </c>
      <c r="D563"/>
      <c r="J563" s="20" t="s">
        <v>0</v>
      </c>
      <c r="K563"/>
      <c r="L563" s="2" t="s">
        <v>317</v>
      </c>
      <c r="M563" s="13"/>
      <c r="N563" s="13"/>
      <c r="O563" s="24"/>
      <c r="P563"/>
      <c r="Q563" s="360"/>
    </row>
    <row r="564" spans="2:26" ht="21">
      <c r="B564" s="43" t="s">
        <v>698</v>
      </c>
      <c r="E564"/>
      <c r="F564"/>
      <c r="G564" s="23" t="s">
        <v>364</v>
      </c>
      <c r="H564" s="19"/>
      <c r="K564" s="32"/>
      <c r="P564"/>
      <c r="Q564" s="360"/>
    </row>
    <row r="565" spans="2:26" ht="15.75" thickBot="1">
      <c r="C565" s="94" t="s">
        <v>744</v>
      </c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360"/>
    </row>
    <row r="566" spans="2:26" ht="15.75" thickBot="1">
      <c r="B566" s="1304" t="s">
        <v>700</v>
      </c>
      <c r="C566" s="99"/>
      <c r="D566" s="1376" t="s">
        <v>251</v>
      </c>
      <c r="E566" s="1306" t="s">
        <v>701</v>
      </c>
      <c r="F566" s="1307"/>
      <c r="G566" s="1307"/>
      <c r="H566" s="1308"/>
      <c r="I566" s="1309" t="s">
        <v>730</v>
      </c>
      <c r="J566" s="31"/>
      <c r="K566" s="1310"/>
      <c r="L566" s="31"/>
      <c r="M566" s="31"/>
      <c r="N566" s="31"/>
      <c r="O566" s="31"/>
      <c r="P566" s="54"/>
      <c r="Q566" s="1304" t="s">
        <v>703</v>
      </c>
    </row>
    <row r="567" spans="2:26">
      <c r="B567" s="535" t="s">
        <v>704</v>
      </c>
      <c r="C567" s="530" t="s">
        <v>257</v>
      </c>
      <c r="D567" s="1377" t="s">
        <v>258</v>
      </c>
      <c r="E567" s="1312" t="s">
        <v>705</v>
      </c>
      <c r="F567" s="1313" t="s">
        <v>706</v>
      </c>
      <c r="G567" s="787" t="s">
        <v>707</v>
      </c>
      <c r="H567" s="1314" t="s">
        <v>708</v>
      </c>
      <c r="I567" s="1315" t="s">
        <v>709</v>
      </c>
      <c r="J567" s="1316" t="s">
        <v>710</v>
      </c>
      <c r="K567" s="1317" t="s">
        <v>711</v>
      </c>
      <c r="L567" s="1318" t="s">
        <v>712</v>
      </c>
      <c r="M567" s="1319" t="s">
        <v>713</v>
      </c>
      <c r="N567" s="835" t="s">
        <v>714</v>
      </c>
      <c r="O567" s="1319" t="s">
        <v>715</v>
      </c>
      <c r="P567" s="1320" t="s">
        <v>716</v>
      </c>
      <c r="Q567" s="1321" t="s">
        <v>717</v>
      </c>
    </row>
    <row r="568" spans="2:26" ht="15.75" thickBot="1">
      <c r="B568" s="541" t="s">
        <v>718</v>
      </c>
      <c r="C568" s="579"/>
      <c r="D568" s="537"/>
      <c r="E568" s="56"/>
      <c r="F568" s="1378"/>
      <c r="H568" s="1378"/>
      <c r="I568" s="1379" t="s">
        <v>719</v>
      </c>
      <c r="J568" s="119" t="s">
        <v>720</v>
      </c>
      <c r="K568" s="1380" t="s">
        <v>721</v>
      </c>
      <c r="L568" s="1381" t="s">
        <v>722</v>
      </c>
      <c r="M568" s="1380" t="s">
        <v>723</v>
      </c>
      <c r="N568" s="46" t="s">
        <v>724</v>
      </c>
      <c r="O568" s="1382" t="s">
        <v>725</v>
      </c>
      <c r="P568" s="1383" t="s">
        <v>726</v>
      </c>
      <c r="Q568" s="1330" t="s">
        <v>490</v>
      </c>
    </row>
    <row r="569" spans="2:26">
      <c r="B569" s="99"/>
      <c r="C569" s="600" t="s">
        <v>199</v>
      </c>
      <c r="D569" s="173"/>
      <c r="E569" s="1467"/>
      <c r="F569" s="1468"/>
      <c r="G569" s="1469"/>
      <c r="H569" s="1470"/>
      <c r="I569" s="1342"/>
      <c r="J569" s="1342"/>
      <c r="K569" s="1342"/>
      <c r="L569" s="1342"/>
      <c r="M569" s="1342"/>
      <c r="N569" s="1342"/>
      <c r="O569" s="1342"/>
      <c r="P569" s="1349"/>
      <c r="Q569" s="1413"/>
      <c r="V569" s="44"/>
      <c r="W569" s="44"/>
      <c r="X569" s="789"/>
    </row>
    <row r="570" spans="2:26">
      <c r="B570" s="1350" t="s">
        <v>645</v>
      </c>
      <c r="C570" s="560" t="s">
        <v>375</v>
      </c>
      <c r="D570" s="561">
        <v>60</v>
      </c>
      <c r="E570" s="2392">
        <v>15</v>
      </c>
      <c r="F570" s="380">
        <v>0.04</v>
      </c>
      <c r="G570" s="380">
        <v>0.02</v>
      </c>
      <c r="H570" s="1384">
        <v>79.8</v>
      </c>
      <c r="I570" s="2394">
        <v>8.4</v>
      </c>
      <c r="J570" s="2394">
        <v>16</v>
      </c>
      <c r="K570" s="2394">
        <v>12</v>
      </c>
      <c r="L570" s="2394">
        <v>0.54</v>
      </c>
      <c r="M570" s="1359">
        <v>74</v>
      </c>
      <c r="N570" s="2416">
        <v>0.02</v>
      </c>
      <c r="O570" s="1359">
        <v>2.3999999999999998E-3</v>
      </c>
      <c r="P570" s="1359">
        <v>0.12</v>
      </c>
      <c r="Q570" s="557">
        <v>2</v>
      </c>
      <c r="V570" s="147"/>
      <c r="W570" s="430"/>
      <c r="X570" s="789"/>
    </row>
    <row r="571" spans="2:26">
      <c r="B571" s="1351" t="s">
        <v>182</v>
      </c>
      <c r="C571" s="560" t="s">
        <v>506</v>
      </c>
      <c r="D571" s="551" t="s">
        <v>515</v>
      </c>
      <c r="E571" s="1276">
        <v>5.1999999999999998E-2</v>
      </c>
      <c r="F571" s="1294">
        <v>9.7000000000000003E-2</v>
      </c>
      <c r="G571" s="2469">
        <v>0.19</v>
      </c>
      <c r="H571" s="2470">
        <v>62.835999999999999</v>
      </c>
      <c r="I571" s="2469">
        <v>13.11</v>
      </c>
      <c r="J571" s="2469">
        <v>22.06</v>
      </c>
      <c r="K571" s="1359">
        <v>6.069</v>
      </c>
      <c r="L571" s="1359">
        <v>0.67600000000000005</v>
      </c>
      <c r="M571" s="2469">
        <v>2.105</v>
      </c>
      <c r="N571" s="1359">
        <v>0</v>
      </c>
      <c r="O571" s="1359">
        <v>0</v>
      </c>
      <c r="P571" s="2471">
        <v>0.40300000000000002</v>
      </c>
      <c r="Q571" s="598">
        <v>67</v>
      </c>
      <c r="V571" s="44"/>
      <c r="W571" s="222"/>
      <c r="X571" s="789"/>
    </row>
    <row r="572" spans="2:26">
      <c r="B572" s="1351" t="s">
        <v>778</v>
      </c>
      <c r="C572" s="495" t="s">
        <v>954</v>
      </c>
      <c r="D572" s="551" t="s">
        <v>732</v>
      </c>
      <c r="E572" s="2414">
        <v>0.2</v>
      </c>
      <c r="F572" s="381">
        <v>0.08</v>
      </c>
      <c r="G572" s="2415">
        <v>0.04</v>
      </c>
      <c r="H572" s="1388">
        <v>20.170000000000002</v>
      </c>
      <c r="I572" s="384">
        <v>39.22</v>
      </c>
      <c r="J572" s="1359">
        <v>44.82</v>
      </c>
      <c r="K572" s="1359">
        <v>9.1669999999999998</v>
      </c>
      <c r="L572" s="1359">
        <v>0.46</v>
      </c>
      <c r="M572" s="1359">
        <v>12.38</v>
      </c>
      <c r="N572" s="1359">
        <v>0</v>
      </c>
      <c r="O572" s="1359">
        <v>5.0000000000000001E-3</v>
      </c>
      <c r="P572" s="2393">
        <v>0.26900000000000002</v>
      </c>
      <c r="Q572" s="589">
        <v>45</v>
      </c>
      <c r="V572" s="153"/>
      <c r="W572" s="153"/>
      <c r="X572" s="789"/>
    </row>
    <row r="573" spans="2:26">
      <c r="B573" s="2589"/>
      <c r="C573" s="417" t="s">
        <v>649</v>
      </c>
      <c r="D573" s="590"/>
      <c r="E573" s="1536">
        <v>3.47</v>
      </c>
      <c r="F573" s="1359">
        <v>4.1000000000000002E-2</v>
      </c>
      <c r="G573" s="2416">
        <v>0.113</v>
      </c>
      <c r="H573" s="1298">
        <v>141.994</v>
      </c>
      <c r="I573" s="1359">
        <v>20.27</v>
      </c>
      <c r="J573" s="1359">
        <v>23.72</v>
      </c>
      <c r="K573" s="1359">
        <v>6.2640000000000002</v>
      </c>
      <c r="L573" s="1359">
        <v>1.5860000000000001</v>
      </c>
      <c r="M573" s="1359">
        <v>20.585000000000001</v>
      </c>
      <c r="N573" s="1359">
        <v>2E-3</v>
      </c>
      <c r="O573" s="1359">
        <v>6.7999999999999996E-3</v>
      </c>
      <c r="P573" s="2393">
        <v>0.32700000000000001</v>
      </c>
      <c r="Q573" s="593"/>
      <c r="V573" s="44"/>
      <c r="W573" s="44"/>
      <c r="X573" s="789"/>
    </row>
    <row r="574" spans="2:26">
      <c r="B574" s="1272" t="s">
        <v>9</v>
      </c>
      <c r="C574" s="560" t="s">
        <v>151</v>
      </c>
      <c r="D574" s="561">
        <v>200</v>
      </c>
      <c r="E574" s="2392">
        <v>4</v>
      </c>
      <c r="F574" s="380">
        <v>0.02</v>
      </c>
      <c r="G574" s="380">
        <v>0.02</v>
      </c>
      <c r="H574" s="1384">
        <v>0</v>
      </c>
      <c r="I574" s="1359">
        <v>14</v>
      </c>
      <c r="J574" s="1359">
        <v>14</v>
      </c>
      <c r="K574" s="380">
        <v>8</v>
      </c>
      <c r="L574" s="1359">
        <v>1.1679999999999999</v>
      </c>
      <c r="M574" s="1359">
        <v>99.6</v>
      </c>
      <c r="N574" s="1359">
        <v>2E-3</v>
      </c>
      <c r="O574" s="1359">
        <v>0</v>
      </c>
      <c r="P574" s="2393">
        <v>0</v>
      </c>
      <c r="Q574" s="581">
        <v>76</v>
      </c>
      <c r="R574" s="9"/>
      <c r="V574" s="44"/>
      <c r="W574" s="44"/>
      <c r="X574" s="805"/>
    </row>
    <row r="575" spans="2:26">
      <c r="B575" s="1272" t="s">
        <v>10</v>
      </c>
      <c r="C575" s="560" t="s">
        <v>11</v>
      </c>
      <c r="D575" s="561">
        <v>40</v>
      </c>
      <c r="E575" s="2392">
        <v>0.08</v>
      </c>
      <c r="F575" s="380">
        <v>1.6E-2</v>
      </c>
      <c r="G575" s="380">
        <v>1.3299999999999999E-2</v>
      </c>
      <c r="H575" s="1298">
        <v>0</v>
      </c>
      <c r="I575" s="1359">
        <v>63.332999999999998</v>
      </c>
      <c r="J575" s="1359">
        <v>51.6</v>
      </c>
      <c r="K575" s="1359">
        <v>16.399999999999999</v>
      </c>
      <c r="L575" s="1359">
        <v>0.04</v>
      </c>
      <c r="M575" s="2498">
        <v>29.733000000000001</v>
      </c>
      <c r="N575" s="1359">
        <v>0</v>
      </c>
      <c r="O575" s="1359">
        <v>0</v>
      </c>
      <c r="P575" s="1359">
        <v>0</v>
      </c>
      <c r="Q575" s="557">
        <v>11</v>
      </c>
      <c r="R575" s="9"/>
      <c r="V575" s="44"/>
      <c r="W575" s="44"/>
      <c r="X575" s="805"/>
    </row>
    <row r="576" spans="2:26" ht="15.75" thickBot="1">
      <c r="B576" s="1352" t="s">
        <v>10</v>
      </c>
      <c r="C576" s="573" t="s">
        <v>792</v>
      </c>
      <c r="D576" s="574">
        <v>30</v>
      </c>
      <c r="E576" s="2402">
        <v>0</v>
      </c>
      <c r="F576" s="381">
        <v>0.06</v>
      </c>
      <c r="G576" s="381">
        <v>0</v>
      </c>
      <c r="H576" s="1465">
        <v>0</v>
      </c>
      <c r="I576" s="1294">
        <v>24.9</v>
      </c>
      <c r="J576" s="1294">
        <v>58.2</v>
      </c>
      <c r="K576" s="381">
        <v>17.100000000000001</v>
      </c>
      <c r="L576" s="1294">
        <v>0.03</v>
      </c>
      <c r="M576" s="1294">
        <v>43.2</v>
      </c>
      <c r="N576" s="1294">
        <v>8.9999999999999998E-4</v>
      </c>
      <c r="O576" s="1294">
        <v>0</v>
      </c>
      <c r="P576" s="2417">
        <v>0</v>
      </c>
      <c r="Q576" s="589">
        <v>12</v>
      </c>
      <c r="V576" s="792"/>
      <c r="W576" s="793"/>
      <c r="X576" s="2310"/>
      <c r="Y576" s="210"/>
      <c r="Z576" s="22"/>
    </row>
    <row r="577" spans="2:26">
      <c r="B577" s="565" t="s">
        <v>283</v>
      </c>
      <c r="C577" s="168"/>
      <c r="D577" s="2302">
        <f>D570+D574+D575+D576+110+10+110+70</f>
        <v>630</v>
      </c>
      <c r="E577" s="566">
        <f>SUM(E570:E576)</f>
        <v>22.801999999999996</v>
      </c>
      <c r="F577" s="1353">
        <f>SUM(F570:F576)</f>
        <v>0.35400000000000004</v>
      </c>
      <c r="G577" s="1353">
        <f t="shared" ref="G577:P577" si="108">SUM(G570:G576)</f>
        <v>0.39629999999999999</v>
      </c>
      <c r="H577" s="1353">
        <f>SUM(H570:H576)</f>
        <v>304.79999999999995</v>
      </c>
      <c r="I577" s="1353">
        <f t="shared" si="108"/>
        <v>183.233</v>
      </c>
      <c r="J577" s="1353">
        <f t="shared" si="108"/>
        <v>230.39999999999998</v>
      </c>
      <c r="K577" s="1353">
        <f t="shared" si="108"/>
        <v>75</v>
      </c>
      <c r="L577" s="1353">
        <f t="shared" si="108"/>
        <v>4.5000000000000009</v>
      </c>
      <c r="M577" s="1353">
        <f>SUM(M570:M576)</f>
        <v>281.60300000000001</v>
      </c>
      <c r="N577" s="1353">
        <f t="shared" si="108"/>
        <v>2.4900000000000002E-2</v>
      </c>
      <c r="O577" s="1353">
        <f t="shared" si="108"/>
        <v>1.4200000000000001E-2</v>
      </c>
      <c r="P577" s="1389">
        <f t="shared" si="108"/>
        <v>1.119</v>
      </c>
      <c r="Q577" s="1358"/>
      <c r="V577" s="1289"/>
      <c r="W577" s="1289"/>
      <c r="X577" s="1289"/>
      <c r="Y577" s="1029"/>
      <c r="Z577" s="1"/>
    </row>
    <row r="578" spans="2:26">
      <c r="B578" s="513"/>
      <c r="C578" s="794" t="s">
        <v>12</v>
      </c>
      <c r="D578" s="2291">
        <v>0.25</v>
      </c>
      <c r="E578" s="1398">
        <v>17.5</v>
      </c>
      <c r="F578" s="2413">
        <v>0.35</v>
      </c>
      <c r="G578" s="1399">
        <v>0.4</v>
      </c>
      <c r="H578" s="1345">
        <v>225</v>
      </c>
      <c r="I578" s="2413">
        <v>300</v>
      </c>
      <c r="J578" s="1399">
        <v>300</v>
      </c>
      <c r="K578" s="1345">
        <v>75</v>
      </c>
      <c r="L578" s="2413">
        <v>4.5</v>
      </c>
      <c r="M578" s="1346">
        <v>300</v>
      </c>
      <c r="N578" s="2413">
        <v>2.5000000000000001E-2</v>
      </c>
      <c r="O578" s="1399">
        <v>1.2500000000000001E-2</v>
      </c>
      <c r="P578" s="1345">
        <v>1</v>
      </c>
      <c r="Q578" s="1358"/>
      <c r="V578" s="1"/>
      <c r="W578" s="1"/>
      <c r="X578" s="1"/>
      <c r="Y578" s="1"/>
      <c r="Z578" s="1"/>
    </row>
    <row r="579" spans="2:26" ht="15.75" thickBot="1">
      <c r="B579" s="237"/>
      <c r="C579" s="1347" t="s">
        <v>942</v>
      </c>
      <c r="D579" s="1348" t="s">
        <v>280</v>
      </c>
      <c r="E579" s="1416">
        <f>(E577*100/E599)-25</f>
        <v>7.5742857142857147</v>
      </c>
      <c r="F579" s="1370">
        <f t="shared" ref="F579:O579" si="109">(F577*100/F599)-25</f>
        <v>0.2857142857142918</v>
      </c>
      <c r="G579" s="1370">
        <f t="shared" si="109"/>
        <v>-0.23125000000000284</v>
      </c>
      <c r="H579" s="1370">
        <f t="shared" si="109"/>
        <v>8.86666666666666</v>
      </c>
      <c r="I579" s="1370">
        <f t="shared" si="109"/>
        <v>-9.7305833333333336</v>
      </c>
      <c r="J579" s="1370">
        <f t="shared" si="109"/>
        <v>-5.8000000000000043</v>
      </c>
      <c r="K579" s="1370">
        <f t="shared" si="109"/>
        <v>0</v>
      </c>
      <c r="L579" s="1370">
        <f t="shared" si="109"/>
        <v>0</v>
      </c>
      <c r="M579" s="1370">
        <f t="shared" si="109"/>
        <v>-1.5330833333333338</v>
      </c>
      <c r="N579" s="1370">
        <f t="shared" si="109"/>
        <v>-9.9999999999997868E-2</v>
      </c>
      <c r="O579" s="1370">
        <f t="shared" si="109"/>
        <v>3.4000000000000021</v>
      </c>
      <c r="P579" s="1371">
        <f>(P577*100/P599)-25</f>
        <v>2.9750000000000014</v>
      </c>
      <c r="Q579" s="1358"/>
      <c r="V579" s="44"/>
      <c r="W579" s="44"/>
      <c r="X579" s="789"/>
    </row>
    <row r="580" spans="2:26">
      <c r="B580" s="99"/>
      <c r="C580" s="774" t="s">
        <v>152</v>
      </c>
      <c r="D580" s="54"/>
      <c r="E580" s="1471"/>
      <c r="F580" s="2418"/>
      <c r="G580" s="2419"/>
      <c r="H580" s="2419"/>
      <c r="I580" s="2419"/>
      <c r="J580" s="2419"/>
      <c r="K580" s="2419"/>
      <c r="L580" s="2419"/>
      <c r="M580" s="2419"/>
      <c r="N580" s="2419"/>
      <c r="O580" s="2419"/>
      <c r="P580" s="2420"/>
      <c r="Q580" s="1358"/>
      <c r="V580" s="44"/>
      <c r="W580" s="44"/>
      <c r="X580" s="805"/>
    </row>
    <row r="581" spans="2:26">
      <c r="B581" s="2293" t="s">
        <v>687</v>
      </c>
      <c r="C581" s="582" t="s">
        <v>363</v>
      </c>
      <c r="D581" s="561">
        <v>60</v>
      </c>
      <c r="E581" s="1359">
        <v>6</v>
      </c>
      <c r="F581" s="1359">
        <v>0.02</v>
      </c>
      <c r="G581" s="2393">
        <v>0.02</v>
      </c>
      <c r="H581" s="1359">
        <v>6</v>
      </c>
      <c r="I581" s="2396">
        <v>13.8</v>
      </c>
      <c r="J581" s="2397">
        <v>25</v>
      </c>
      <c r="K581" s="2397">
        <v>8.4</v>
      </c>
      <c r="L581" s="2397">
        <v>0.36</v>
      </c>
      <c r="M581" s="2397">
        <v>56.7</v>
      </c>
      <c r="N581" s="2397">
        <v>1.8E-3</v>
      </c>
      <c r="O581" s="2397">
        <v>2.0000000000000001E-4</v>
      </c>
      <c r="P581" s="2397">
        <v>1.0200000000000001E-2</v>
      </c>
      <c r="Q581" s="557">
        <v>1</v>
      </c>
      <c r="V581" s="153"/>
      <c r="W581" s="153"/>
      <c r="X581" s="805"/>
    </row>
    <row r="582" spans="2:26">
      <c r="B582" s="2290" t="s">
        <v>813</v>
      </c>
      <c r="C582" s="398" t="s">
        <v>223</v>
      </c>
      <c r="D582" s="561">
        <v>250</v>
      </c>
      <c r="E582" s="1359">
        <v>2.15</v>
      </c>
      <c r="F582" s="1359">
        <v>0.08</v>
      </c>
      <c r="G582" s="1359">
        <v>0.29599999999999999</v>
      </c>
      <c r="H582" s="1298">
        <v>105.68</v>
      </c>
      <c r="I582" s="1359">
        <v>20.420000000000002</v>
      </c>
      <c r="J582" s="1359">
        <v>15.02</v>
      </c>
      <c r="K582" s="1359">
        <v>10.365</v>
      </c>
      <c r="L582" s="1359">
        <v>0.83299999999999996</v>
      </c>
      <c r="M582" s="1359">
        <v>63.734999999999999</v>
      </c>
      <c r="N582" s="1359">
        <v>2.1000000000000001E-2</v>
      </c>
      <c r="O582" s="1359">
        <v>0</v>
      </c>
      <c r="P582" s="1359">
        <v>0.2</v>
      </c>
      <c r="Q582" s="776">
        <v>15</v>
      </c>
      <c r="V582" s="44"/>
      <c r="W582" s="222"/>
      <c r="X582" s="789"/>
    </row>
    <row r="583" spans="2:26">
      <c r="B583" s="1473" t="s">
        <v>17</v>
      </c>
      <c r="C583" s="582" t="s">
        <v>113</v>
      </c>
      <c r="D583" s="561">
        <v>190</v>
      </c>
      <c r="E583" s="2411">
        <v>3.68</v>
      </c>
      <c r="F583" s="1359">
        <v>0.24299999999999999</v>
      </c>
      <c r="G583" s="1359">
        <v>7.9000000000000001E-2</v>
      </c>
      <c r="H583" s="1384">
        <v>138.69</v>
      </c>
      <c r="I583" s="1359">
        <v>60.7</v>
      </c>
      <c r="J583" s="1359">
        <v>216.24</v>
      </c>
      <c r="K583" s="1359">
        <v>17.71</v>
      </c>
      <c r="L583" s="1359">
        <v>2.7850000000000001</v>
      </c>
      <c r="M583" s="1359">
        <v>89.385000000000005</v>
      </c>
      <c r="N583" s="1359">
        <v>2E-3</v>
      </c>
      <c r="O583" s="1359">
        <v>4.7999999999999996E-3</v>
      </c>
      <c r="P583" s="2393">
        <v>0.9</v>
      </c>
      <c r="Q583" s="580">
        <v>57</v>
      </c>
      <c r="V583" s="44"/>
      <c r="W583" s="44"/>
      <c r="X583" s="789"/>
    </row>
    <row r="584" spans="2:26">
      <c r="B584" s="2290" t="s">
        <v>827</v>
      </c>
      <c r="C584" s="595" t="s">
        <v>650</v>
      </c>
      <c r="D584" s="561">
        <v>200</v>
      </c>
      <c r="E584" s="2392">
        <v>0.85519999999999996</v>
      </c>
      <c r="F584" s="380">
        <v>4.7999999999999996E-3</v>
      </c>
      <c r="G584" s="380">
        <v>4.7999999999999996E-3</v>
      </c>
      <c r="H584" s="1384">
        <v>8.4600000000000009</v>
      </c>
      <c r="I584" s="1359">
        <v>34.045400000000001</v>
      </c>
      <c r="J584" s="1359">
        <v>9.66</v>
      </c>
      <c r="K584" s="1359">
        <v>2.8119999999999998</v>
      </c>
      <c r="L584" s="1359">
        <v>0.34300000000000003</v>
      </c>
      <c r="M584" s="1359">
        <v>46.387</v>
      </c>
      <c r="N584" s="1359">
        <v>0</v>
      </c>
      <c r="O584" s="1359">
        <v>7.0000000000000001E-3</v>
      </c>
      <c r="P584" s="2393">
        <v>0.02</v>
      </c>
      <c r="Q584" s="580">
        <v>83</v>
      </c>
      <c r="V584" s="44"/>
      <c r="W584" s="44"/>
      <c r="X584" s="789"/>
    </row>
    <row r="585" spans="2:26">
      <c r="B585" s="1473" t="s">
        <v>10</v>
      </c>
      <c r="C585" s="556" t="s">
        <v>11</v>
      </c>
      <c r="D585" s="561">
        <v>70</v>
      </c>
      <c r="E585" s="2392">
        <v>0.14000000000000001</v>
      </c>
      <c r="F585" s="380">
        <v>2.5000000000000001E-2</v>
      </c>
      <c r="G585" s="380">
        <v>2.3E-2</v>
      </c>
      <c r="H585" s="1298">
        <v>0</v>
      </c>
      <c r="I585" s="2498">
        <v>110.01300000000001</v>
      </c>
      <c r="J585" s="1359">
        <v>90.3</v>
      </c>
      <c r="K585" s="1359">
        <v>28.7</v>
      </c>
      <c r="L585" s="2393">
        <v>7.0000000000000007E-2</v>
      </c>
      <c r="M585" s="2469">
        <v>52.03</v>
      </c>
      <c r="N585" s="1359">
        <v>0</v>
      </c>
      <c r="O585" s="1359">
        <v>0</v>
      </c>
      <c r="P585" s="1359">
        <v>0</v>
      </c>
      <c r="Q585" s="557">
        <v>11</v>
      </c>
      <c r="V585" s="152"/>
      <c r="W585" s="44"/>
      <c r="X585" s="789"/>
    </row>
    <row r="586" spans="2:26">
      <c r="B586" s="2294" t="s">
        <v>10</v>
      </c>
      <c r="C586" s="595" t="s">
        <v>792</v>
      </c>
      <c r="D586" s="551">
        <v>40</v>
      </c>
      <c r="E586" s="2402">
        <v>0</v>
      </c>
      <c r="F586" s="381">
        <v>0.08</v>
      </c>
      <c r="G586" s="381">
        <v>0</v>
      </c>
      <c r="H586" s="1298">
        <v>0</v>
      </c>
      <c r="I586" s="242">
        <v>33.200000000000003</v>
      </c>
      <c r="J586" s="242">
        <v>60.54</v>
      </c>
      <c r="K586" s="242">
        <v>19.68</v>
      </c>
      <c r="L586" s="242">
        <v>0.04</v>
      </c>
      <c r="M586" s="1359">
        <v>57.6</v>
      </c>
      <c r="N586" s="1359">
        <v>1E-3</v>
      </c>
      <c r="O586" s="1359">
        <v>0</v>
      </c>
      <c r="P586" s="2412">
        <v>0</v>
      </c>
      <c r="Q586" s="572">
        <v>12</v>
      </c>
      <c r="R586" s="789"/>
      <c r="V586" s="792"/>
      <c r="W586" s="793"/>
      <c r="X586" s="2310"/>
      <c r="Y586" s="210"/>
      <c r="Z586" s="22"/>
    </row>
    <row r="587" spans="2:26" ht="15.75" thickBot="1">
      <c r="B587" s="2560" t="s">
        <v>1004</v>
      </c>
      <c r="C587" s="563" t="s">
        <v>1003</v>
      </c>
      <c r="D587" s="574">
        <v>110</v>
      </c>
      <c r="E587" s="1416">
        <v>11</v>
      </c>
      <c r="F587" s="1370">
        <v>2.4199999999999999E-2</v>
      </c>
      <c r="G587" s="1370">
        <v>2.1999999999999999E-2</v>
      </c>
      <c r="H587" s="2457">
        <v>5.5</v>
      </c>
      <c r="I587" s="1370">
        <v>17.600000000000001</v>
      </c>
      <c r="J587" s="1359">
        <v>12.1</v>
      </c>
      <c r="K587" s="1359">
        <v>9.9</v>
      </c>
      <c r="L587" s="2393">
        <v>2.13</v>
      </c>
      <c r="M587" s="1359">
        <v>58.19</v>
      </c>
      <c r="N587" s="1359">
        <v>0.01</v>
      </c>
      <c r="O587" s="1359">
        <v>0</v>
      </c>
      <c r="P587" s="2412">
        <v>0.29699999999999999</v>
      </c>
      <c r="Q587" s="627">
        <v>73</v>
      </c>
      <c r="V587" s="1289"/>
      <c r="W587" s="1289"/>
      <c r="X587" s="1289"/>
      <c r="Y587" s="1029"/>
      <c r="Z587" s="1"/>
    </row>
    <row r="588" spans="2:26" ht="13.5" customHeight="1">
      <c r="B588" s="565" t="s">
        <v>269</v>
      </c>
      <c r="C588" s="34"/>
      <c r="D588" s="2292">
        <f>SUM(D581:D587)</f>
        <v>920</v>
      </c>
      <c r="E588" s="575">
        <f>SUM(E581:E587)</f>
        <v>23.825200000000002</v>
      </c>
      <c r="F588" s="1353">
        <f>SUM(F581:F587)</f>
        <v>0.47700000000000004</v>
      </c>
      <c r="G588" s="1353">
        <f t="shared" ref="G588:P588" si="110">SUM(G581:G587)</f>
        <v>0.44480000000000008</v>
      </c>
      <c r="H588" s="1353">
        <f t="shared" si="110"/>
        <v>264.33</v>
      </c>
      <c r="I588" s="1353">
        <f t="shared" si="110"/>
        <v>289.77840000000003</v>
      </c>
      <c r="J588" s="1353">
        <f t="shared" si="110"/>
        <v>428.86000000000007</v>
      </c>
      <c r="K588" s="2472">
        <f t="shared" si="110"/>
        <v>97.567000000000007</v>
      </c>
      <c r="L588" s="1353">
        <f t="shared" si="110"/>
        <v>6.5610000000000008</v>
      </c>
      <c r="M588" s="1353">
        <f>SUM(M581:M587)</f>
        <v>424.02699999999999</v>
      </c>
      <c r="N588" s="1353">
        <f>SUM(N581:N587)</f>
        <v>3.5800000000000005E-2</v>
      </c>
      <c r="O588" s="1353">
        <f t="shared" si="110"/>
        <v>1.2E-2</v>
      </c>
      <c r="P588" s="1389">
        <f t="shared" si="110"/>
        <v>1.4272</v>
      </c>
      <c r="Q588" s="1358"/>
      <c r="V588" s="1"/>
      <c r="W588" s="1"/>
      <c r="X588" s="1"/>
      <c r="Y588" s="1"/>
      <c r="Z588" s="1"/>
    </row>
    <row r="589" spans="2:26">
      <c r="B589" s="1343"/>
      <c r="C589" s="1344" t="s">
        <v>12</v>
      </c>
      <c r="D589" s="2291">
        <v>0.35</v>
      </c>
      <c r="E589" s="1355">
        <v>24.5</v>
      </c>
      <c r="F589" s="1365">
        <v>0.49</v>
      </c>
      <c r="G589" s="1364">
        <v>0.56000000000000005</v>
      </c>
      <c r="H589" s="1363">
        <v>315</v>
      </c>
      <c r="I589" s="1365">
        <v>420</v>
      </c>
      <c r="J589" s="1364">
        <v>420</v>
      </c>
      <c r="K589" s="1363">
        <v>105</v>
      </c>
      <c r="L589" s="1365">
        <v>6.3</v>
      </c>
      <c r="M589" s="1369">
        <v>420</v>
      </c>
      <c r="N589" s="1365">
        <v>3.5000000000000003E-2</v>
      </c>
      <c r="O589" s="1364">
        <v>1.7500000000000002E-2</v>
      </c>
      <c r="P589" s="1363">
        <v>1.4</v>
      </c>
      <c r="Q589" s="1358"/>
      <c r="V589" s="44"/>
      <c r="W589" s="44"/>
      <c r="X589" s="789"/>
      <c r="Y589" s="722"/>
      <c r="Z589" s="788"/>
    </row>
    <row r="590" spans="2:26" ht="15.75" thickBot="1">
      <c r="B590" s="237"/>
      <c r="C590" s="1347" t="s">
        <v>942</v>
      </c>
      <c r="D590" s="1348" t="s">
        <v>280</v>
      </c>
      <c r="E590" s="1416">
        <f>(E588*100/E599)-35</f>
        <v>-0.96399999999999153</v>
      </c>
      <c r="F590" s="1370">
        <f t="shared" ref="F590:O590" si="111">(F588*100/F599)-35</f>
        <v>-0.9285714285714235</v>
      </c>
      <c r="G590" s="1370">
        <f t="shared" si="111"/>
        <v>-7.1999999999999957</v>
      </c>
      <c r="H590" s="1370">
        <f t="shared" si="111"/>
        <v>-5.629999999999999</v>
      </c>
      <c r="I590" s="1370">
        <f t="shared" si="111"/>
        <v>-10.851799999999997</v>
      </c>
      <c r="J590" s="1370">
        <f t="shared" si="111"/>
        <v>0.73833333333333684</v>
      </c>
      <c r="K590" s="1370">
        <f t="shared" si="111"/>
        <v>-2.4776666666666642</v>
      </c>
      <c r="L590" s="1370">
        <f t="shared" si="111"/>
        <v>1.4500000000000099</v>
      </c>
      <c r="M590" s="1370">
        <f t="shared" si="111"/>
        <v>0.33558333333333223</v>
      </c>
      <c r="N590" s="1370">
        <f t="shared" si="111"/>
        <v>0.80000000000000426</v>
      </c>
      <c r="O590" s="1370">
        <f t="shared" si="111"/>
        <v>-11.000000000000004</v>
      </c>
      <c r="P590" s="1371">
        <f>(P588*100/P599)-35</f>
        <v>0.67999999999999972</v>
      </c>
      <c r="Q590" s="1358"/>
      <c r="V590" s="44"/>
      <c r="W590" s="44"/>
      <c r="X590" s="789"/>
      <c r="Y590" s="722"/>
      <c r="Z590" s="791"/>
    </row>
    <row r="591" spans="2:26">
      <c r="B591" s="600"/>
      <c r="C591" s="162" t="s">
        <v>324</v>
      </c>
      <c r="D591" s="99"/>
      <c r="E591" s="2422"/>
      <c r="F591" s="1390"/>
      <c r="G591" s="2423"/>
      <c r="H591" s="2423"/>
      <c r="I591" s="2423"/>
      <c r="J591" s="2423"/>
      <c r="K591" s="2468"/>
      <c r="L591" s="2423"/>
      <c r="M591" s="2423"/>
      <c r="N591" s="2423"/>
      <c r="O591" s="2423"/>
      <c r="P591" s="2424"/>
      <c r="Q591" s="1358"/>
      <c r="V591" s="44"/>
      <c r="W591" s="44"/>
      <c r="X591" s="805"/>
      <c r="Y591" s="722"/>
      <c r="Z591" s="721"/>
    </row>
    <row r="592" spans="2:26">
      <c r="B592" s="1431" t="s">
        <v>830</v>
      </c>
      <c r="C592" s="595" t="s">
        <v>593</v>
      </c>
      <c r="D592" s="429">
        <v>200</v>
      </c>
      <c r="E592" s="2392">
        <v>1.1399999999999999</v>
      </c>
      <c r="F592" s="380">
        <v>0</v>
      </c>
      <c r="G592" s="380">
        <v>5.0000000000000001E-3</v>
      </c>
      <c r="H592" s="1384">
        <v>0.23</v>
      </c>
      <c r="I592" s="1359">
        <v>4.79</v>
      </c>
      <c r="J592" s="1359">
        <v>4.9000000000000004</v>
      </c>
      <c r="K592" s="1359">
        <v>2.6</v>
      </c>
      <c r="L592" s="1359">
        <v>0.44</v>
      </c>
      <c r="M592" s="1359">
        <v>46.7</v>
      </c>
      <c r="N592" s="1359">
        <v>0</v>
      </c>
      <c r="O592" s="1359">
        <v>0</v>
      </c>
      <c r="P592" s="2393">
        <v>0.224</v>
      </c>
      <c r="Q592" s="628">
        <v>91</v>
      </c>
      <c r="V592" s="792"/>
      <c r="W592" s="793"/>
      <c r="X592" s="2310"/>
      <c r="Y592" s="210"/>
      <c r="Z592" s="22"/>
    </row>
    <row r="593" spans="2:17" ht="15.75" thickBot="1">
      <c r="B593" s="584" t="s">
        <v>496</v>
      </c>
      <c r="C593" s="993" t="s">
        <v>460</v>
      </c>
      <c r="D593" s="429" t="s">
        <v>384</v>
      </c>
      <c r="E593" s="2392">
        <v>2.0750000000000002</v>
      </c>
      <c r="F593" s="380">
        <v>9.4E-2</v>
      </c>
      <c r="G593" s="380">
        <v>0.127</v>
      </c>
      <c r="H593" s="1298">
        <v>98</v>
      </c>
      <c r="I593" s="1359">
        <v>66.5</v>
      </c>
      <c r="J593" s="1359">
        <v>51.2</v>
      </c>
      <c r="K593" s="380">
        <v>4.4000000000000004</v>
      </c>
      <c r="L593" s="1359">
        <v>1.4</v>
      </c>
      <c r="M593" s="1359">
        <v>24.67</v>
      </c>
      <c r="N593" s="1359">
        <v>0.01</v>
      </c>
      <c r="O593" s="1359">
        <v>4.4999999999999997E-3</v>
      </c>
      <c r="P593" s="2393">
        <v>0.24</v>
      </c>
      <c r="Q593" s="627">
        <v>39</v>
      </c>
    </row>
    <row r="594" spans="2:17" ht="15.75" thickBot="1">
      <c r="B594" s="1352" t="s">
        <v>10</v>
      </c>
      <c r="C594" s="573" t="s">
        <v>11</v>
      </c>
      <c r="D594" s="574">
        <v>40</v>
      </c>
      <c r="E594" s="2392">
        <v>0.08</v>
      </c>
      <c r="F594" s="380">
        <v>1.6E-2</v>
      </c>
      <c r="G594" s="380">
        <v>1.3299999999999999E-2</v>
      </c>
      <c r="H594" s="1298">
        <v>0</v>
      </c>
      <c r="I594" s="1359">
        <v>63.332999999999998</v>
      </c>
      <c r="J594" s="1359">
        <v>51.6</v>
      </c>
      <c r="K594" s="1359">
        <v>16.399999999999999</v>
      </c>
      <c r="L594" s="1359">
        <v>0.04</v>
      </c>
      <c r="M594" s="2498">
        <v>29.733000000000001</v>
      </c>
      <c r="N594" s="1359">
        <v>0</v>
      </c>
      <c r="O594" s="1359">
        <v>0</v>
      </c>
      <c r="P594" s="1359">
        <v>0</v>
      </c>
      <c r="Q594" s="1403">
        <v>11</v>
      </c>
    </row>
    <row r="595" spans="2:17">
      <c r="B595" s="565" t="s">
        <v>357</v>
      </c>
      <c r="C595" s="433"/>
      <c r="D595" s="577">
        <f>D592+D594+90+20</f>
        <v>350</v>
      </c>
      <c r="E595" s="575">
        <f>SUM(E592:E594)</f>
        <v>3.2949999999999999</v>
      </c>
      <c r="F595" s="1353">
        <f>SUM(F592:F594)</f>
        <v>0.11</v>
      </c>
      <c r="G595" s="1353">
        <f t="shared" ref="G595:P595" si="112">SUM(G592:G594)</f>
        <v>0.14530000000000001</v>
      </c>
      <c r="H595" s="1353">
        <f t="shared" si="112"/>
        <v>98.23</v>
      </c>
      <c r="I595" s="1353">
        <f t="shared" si="112"/>
        <v>134.62299999999999</v>
      </c>
      <c r="J595" s="1353">
        <f t="shared" si="112"/>
        <v>107.7</v>
      </c>
      <c r="K595" s="1353">
        <f>SUM(K592:K594)</f>
        <v>23.4</v>
      </c>
      <c r="L595" s="1353">
        <f t="shared" si="112"/>
        <v>1.88</v>
      </c>
      <c r="M595" s="1353">
        <f t="shared" si="112"/>
        <v>101.10300000000001</v>
      </c>
      <c r="N595" s="1353">
        <f>SUM(N592:N594)</f>
        <v>0.01</v>
      </c>
      <c r="O595" s="1353">
        <f t="shared" si="112"/>
        <v>4.4999999999999997E-3</v>
      </c>
      <c r="P595" s="1405">
        <f t="shared" si="112"/>
        <v>0.46399999999999997</v>
      </c>
      <c r="Q595" s="360"/>
    </row>
    <row r="596" spans="2:17" ht="15.75" thickBot="1">
      <c r="B596" s="1343"/>
      <c r="C596" s="1344" t="s">
        <v>12</v>
      </c>
      <c r="D596" s="2261">
        <v>0.1</v>
      </c>
      <c r="E596" s="1422">
        <v>7</v>
      </c>
      <c r="F596" s="1423">
        <v>0.14000000000000001</v>
      </c>
      <c r="G596" s="1424">
        <v>0.16</v>
      </c>
      <c r="H596" s="1461">
        <v>90</v>
      </c>
      <c r="I596" s="1423">
        <v>120</v>
      </c>
      <c r="J596" s="1424">
        <v>120</v>
      </c>
      <c r="K596" s="1461">
        <v>30</v>
      </c>
      <c r="L596" s="1423">
        <v>1.8</v>
      </c>
      <c r="M596" s="2445">
        <v>120</v>
      </c>
      <c r="N596" s="1423">
        <v>0.01</v>
      </c>
      <c r="O596" s="1424">
        <v>5.0000000000000001E-3</v>
      </c>
      <c r="P596" s="1425">
        <v>0.4</v>
      </c>
      <c r="Q596" s="360"/>
    </row>
    <row r="597" spans="2:17" ht="15.75" thickBot="1">
      <c r="B597" s="237"/>
      <c r="C597" s="1347" t="s">
        <v>942</v>
      </c>
      <c r="D597" s="1348" t="s">
        <v>280</v>
      </c>
      <c r="E597" s="1416">
        <f>(E595*100/E599)-10</f>
        <v>-5.2928571428571427</v>
      </c>
      <c r="F597" s="1370">
        <f t="shared" ref="F597:O597" si="113">(F595*100/F599)-10</f>
        <v>-2.1428571428571423</v>
      </c>
      <c r="G597" s="1370">
        <f t="shared" si="113"/>
        <v>-0.91874999999999929</v>
      </c>
      <c r="H597" s="1370">
        <f t="shared" si="113"/>
        <v>0.91444444444444528</v>
      </c>
      <c r="I597" s="1370">
        <f t="shared" si="113"/>
        <v>1.2185833333333331</v>
      </c>
      <c r="J597" s="1370">
        <f t="shared" si="113"/>
        <v>-1.0250000000000004</v>
      </c>
      <c r="K597" s="1370">
        <f t="shared" si="113"/>
        <v>-2.2000000000000002</v>
      </c>
      <c r="L597" s="1370">
        <f t="shared" si="113"/>
        <v>0.44444444444444464</v>
      </c>
      <c r="M597" s="1370">
        <f t="shared" si="113"/>
        <v>-1.5747499999999999</v>
      </c>
      <c r="N597" s="1370">
        <f t="shared" si="113"/>
        <v>0</v>
      </c>
      <c r="O597" s="1370">
        <f t="shared" si="113"/>
        <v>-1.0000000000000018</v>
      </c>
      <c r="P597" s="1371">
        <f>(P595*100/P599)-10</f>
        <v>1.5999999999999996</v>
      </c>
      <c r="Q597" s="360"/>
    </row>
    <row r="598" spans="2:17" ht="15.75" thickBot="1"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360"/>
    </row>
    <row r="599" spans="2:17" ht="15.75" thickBot="1">
      <c r="B599" s="2369" t="s">
        <v>959</v>
      </c>
      <c r="C599" s="2262"/>
      <c r="D599" s="2263">
        <v>1</v>
      </c>
      <c r="E599" s="2407">
        <v>70</v>
      </c>
      <c r="F599" s="2408">
        <v>1.4</v>
      </c>
      <c r="G599" s="2408">
        <v>1.6</v>
      </c>
      <c r="H599" s="2264">
        <v>900</v>
      </c>
      <c r="I599" s="2405">
        <v>1200</v>
      </c>
      <c r="J599" s="2406">
        <v>1200</v>
      </c>
      <c r="K599" s="2406">
        <v>300</v>
      </c>
      <c r="L599" s="2409">
        <v>18</v>
      </c>
      <c r="M599" s="2405">
        <v>1200</v>
      </c>
      <c r="N599" s="2409">
        <v>0.1</v>
      </c>
      <c r="O599" s="2409">
        <v>0.05</v>
      </c>
      <c r="P599" s="2410">
        <v>4</v>
      </c>
      <c r="Q599" s="360"/>
    </row>
    <row r="600" spans="2:17" ht="15.75" thickBot="1"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360"/>
    </row>
    <row r="601" spans="2:17">
      <c r="B601" s="1021"/>
      <c r="C601" s="34" t="s">
        <v>481</v>
      </c>
      <c r="D601" s="35"/>
      <c r="E601" s="145">
        <f>E577+E588</f>
        <v>46.627200000000002</v>
      </c>
      <c r="F601" s="243">
        <f t="shared" ref="F601:P601" si="114">F577+F588</f>
        <v>0.83100000000000007</v>
      </c>
      <c r="G601" s="243">
        <f t="shared" si="114"/>
        <v>0.84110000000000007</v>
      </c>
      <c r="H601" s="243">
        <f t="shared" si="114"/>
        <v>569.12999999999988</v>
      </c>
      <c r="I601" s="243">
        <f t="shared" si="114"/>
        <v>473.01140000000004</v>
      </c>
      <c r="J601" s="243">
        <f t="shared" si="114"/>
        <v>659.26</v>
      </c>
      <c r="K601" s="243">
        <f t="shared" si="114"/>
        <v>172.56700000000001</v>
      </c>
      <c r="L601" s="243">
        <f t="shared" si="114"/>
        <v>11.061000000000002</v>
      </c>
      <c r="M601" s="243">
        <f t="shared" si="114"/>
        <v>705.63</v>
      </c>
      <c r="N601" s="243">
        <f t="shared" si="114"/>
        <v>6.0700000000000004E-2</v>
      </c>
      <c r="O601" s="243">
        <f t="shared" si="114"/>
        <v>2.6200000000000001E-2</v>
      </c>
      <c r="P601" s="1024">
        <f t="shared" si="114"/>
        <v>2.5461999999999998</v>
      </c>
      <c r="Q601" s="360"/>
    </row>
    <row r="602" spans="2:17">
      <c r="B602" s="513"/>
      <c r="C602" s="1368" t="s">
        <v>12</v>
      </c>
      <c r="D602" s="2261">
        <v>0.6</v>
      </c>
      <c r="E602" s="1355">
        <v>42</v>
      </c>
      <c r="F602" s="1365">
        <v>0.84</v>
      </c>
      <c r="G602" s="1364">
        <v>0.96</v>
      </c>
      <c r="H602" s="1363">
        <v>540</v>
      </c>
      <c r="I602" s="1365">
        <v>720</v>
      </c>
      <c r="J602" s="1364">
        <v>720</v>
      </c>
      <c r="K602" s="1363">
        <v>180</v>
      </c>
      <c r="L602" s="1365">
        <v>10.8</v>
      </c>
      <c r="M602" s="1369">
        <v>720</v>
      </c>
      <c r="N602" s="1365">
        <v>0.06</v>
      </c>
      <c r="O602" s="1364">
        <v>0.03</v>
      </c>
      <c r="P602" s="1366">
        <v>2.4</v>
      </c>
      <c r="Q602" s="360"/>
    </row>
    <row r="603" spans="2:17" ht="15.75" thickBot="1">
      <c r="B603" s="237"/>
      <c r="C603" s="1347" t="s">
        <v>942</v>
      </c>
      <c r="D603" s="1356" t="s">
        <v>280</v>
      </c>
      <c r="E603" s="1416">
        <f>(E601*100/E599)-60</f>
        <v>6.6102857142857232</v>
      </c>
      <c r="F603" s="1370">
        <f t="shared" ref="F603:P603" si="115">(F601*100/F599)-60</f>
        <v>-0.64285714285713169</v>
      </c>
      <c r="G603" s="1370">
        <f t="shared" si="115"/>
        <v>-7.4312499999999915</v>
      </c>
      <c r="H603" s="1370">
        <f t="shared" si="115"/>
        <v>3.2366666666666504</v>
      </c>
      <c r="I603" s="1370">
        <f t="shared" si="115"/>
        <v>-20.582383333333325</v>
      </c>
      <c r="J603" s="1370">
        <f t="shared" si="115"/>
        <v>-5.0616666666666674</v>
      </c>
      <c r="K603" s="1370">
        <f t="shared" si="115"/>
        <v>-2.4776666666666642</v>
      </c>
      <c r="L603" s="1370">
        <f t="shared" si="115"/>
        <v>1.4500000000000099</v>
      </c>
      <c r="M603" s="1370">
        <f t="shared" si="115"/>
        <v>-1.197499999999998</v>
      </c>
      <c r="N603" s="1370">
        <f t="shared" si="115"/>
        <v>0.70000000000000284</v>
      </c>
      <c r="O603" s="1370">
        <f t="shared" si="115"/>
        <v>-7.6000000000000014</v>
      </c>
      <c r="P603" s="1371">
        <f t="shared" si="115"/>
        <v>3.654999999999994</v>
      </c>
      <c r="Q603" s="360"/>
    </row>
    <row r="604" spans="2:17" ht="15.75" thickBot="1"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360"/>
    </row>
    <row r="605" spans="2:17">
      <c r="B605" s="1021"/>
      <c r="C605" s="34" t="s">
        <v>480</v>
      </c>
      <c r="D605" s="35"/>
      <c r="E605" s="145">
        <f>E588+E595</f>
        <v>27.120200000000004</v>
      </c>
      <c r="F605" s="243">
        <f t="shared" ref="F605:P605" si="116">F588+F595</f>
        <v>0.58700000000000008</v>
      </c>
      <c r="G605" s="243">
        <f t="shared" si="116"/>
        <v>0.59010000000000007</v>
      </c>
      <c r="H605" s="243">
        <f t="shared" si="116"/>
        <v>362.56</v>
      </c>
      <c r="I605" s="243">
        <f t="shared" si="116"/>
        <v>424.40140000000002</v>
      </c>
      <c r="J605" s="243">
        <f t="shared" si="116"/>
        <v>536.56000000000006</v>
      </c>
      <c r="K605" s="243">
        <f t="shared" si="116"/>
        <v>120.96700000000001</v>
      </c>
      <c r="L605" s="243">
        <f t="shared" si="116"/>
        <v>8.4410000000000007</v>
      </c>
      <c r="M605" s="243">
        <f t="shared" si="116"/>
        <v>525.13</v>
      </c>
      <c r="N605" s="243">
        <f t="shared" si="116"/>
        <v>4.5800000000000007E-2</v>
      </c>
      <c r="O605" s="243">
        <f t="shared" si="116"/>
        <v>1.6500000000000001E-2</v>
      </c>
      <c r="P605" s="1024">
        <f t="shared" si="116"/>
        <v>1.8912</v>
      </c>
      <c r="Q605" s="360"/>
    </row>
    <row r="606" spans="2:17">
      <c r="B606" s="513"/>
      <c r="C606" s="1368" t="s">
        <v>12</v>
      </c>
      <c r="D606" s="2261">
        <v>0.45</v>
      </c>
      <c r="E606" s="1355">
        <v>31.5</v>
      </c>
      <c r="F606" s="1365">
        <v>0.63</v>
      </c>
      <c r="G606" s="1364">
        <v>0.72</v>
      </c>
      <c r="H606" s="1364">
        <v>405</v>
      </c>
      <c r="I606" s="1365">
        <v>540</v>
      </c>
      <c r="J606" s="1364">
        <v>540</v>
      </c>
      <c r="K606" s="1364">
        <v>135</v>
      </c>
      <c r="L606" s="1365">
        <v>8.1</v>
      </c>
      <c r="M606" s="1365">
        <v>540</v>
      </c>
      <c r="N606" s="1365">
        <v>4.4999999999999998E-2</v>
      </c>
      <c r="O606" s="1364">
        <v>2.2499999999999999E-2</v>
      </c>
      <c r="P606" s="1366">
        <v>1.8</v>
      </c>
      <c r="Q606" s="360"/>
    </row>
    <row r="607" spans="2:17" ht="15.75" thickBot="1">
      <c r="B607" s="237"/>
      <c r="C607" s="1347" t="s">
        <v>942</v>
      </c>
      <c r="D607" s="1356" t="s">
        <v>280</v>
      </c>
      <c r="E607" s="1416">
        <f>(E605*100/E599)-45</f>
        <v>-6.256857142857136</v>
      </c>
      <c r="F607" s="1370">
        <f t="shared" ref="F607:P607" si="117">(F605*100/F599)-45</f>
        <v>-3.0714285714285623</v>
      </c>
      <c r="G607" s="1370">
        <f t="shared" si="117"/>
        <v>-8.1187499999999986</v>
      </c>
      <c r="H607" s="1370">
        <f t="shared" si="117"/>
        <v>-4.7155555555555537</v>
      </c>
      <c r="I607" s="1370">
        <f t="shared" si="117"/>
        <v>-9.6332166666666694</v>
      </c>
      <c r="J607" s="1370">
        <f t="shared" si="117"/>
        <v>-0.28666666666666174</v>
      </c>
      <c r="K607" s="1370">
        <f t="shared" si="117"/>
        <v>-4.6776666666666671</v>
      </c>
      <c r="L607" s="1370">
        <f t="shared" si="117"/>
        <v>1.8944444444444457</v>
      </c>
      <c r="M607" s="1370">
        <f t="shared" si="117"/>
        <v>-1.2391666666666694</v>
      </c>
      <c r="N607" s="1370">
        <f t="shared" si="117"/>
        <v>0.80000000000000426</v>
      </c>
      <c r="O607" s="1370">
        <f t="shared" si="117"/>
        <v>-12</v>
      </c>
      <c r="P607" s="1371">
        <f t="shared" si="117"/>
        <v>2.2800000000000011</v>
      </c>
      <c r="Q607" s="360"/>
    </row>
    <row r="608" spans="2:17" ht="15.75" thickBot="1">
      <c r="E608" s="194"/>
      <c r="F608" s="194"/>
      <c r="G608" s="194"/>
      <c r="H608" s="194"/>
      <c r="I608" s="194"/>
      <c r="J608" s="194"/>
      <c r="K608" s="350"/>
      <c r="L608" s="194"/>
      <c r="M608" s="194"/>
      <c r="N608" s="194"/>
      <c r="O608" s="194"/>
      <c r="P608" s="207"/>
      <c r="Q608" s="360"/>
    </row>
    <row r="609" spans="2:24">
      <c r="B609" s="1372" t="s">
        <v>741</v>
      </c>
      <c r="C609" s="34"/>
      <c r="D609" s="35"/>
      <c r="E609" s="149">
        <f>E577+E588+E595</f>
        <v>49.922200000000004</v>
      </c>
      <c r="F609" s="1361">
        <f t="shared" ref="F609:P609" si="118">F577+F588+F595</f>
        <v>0.94100000000000006</v>
      </c>
      <c r="G609" s="1361">
        <f t="shared" si="118"/>
        <v>0.98640000000000005</v>
      </c>
      <c r="H609" s="1361">
        <f t="shared" si="118"/>
        <v>667.3599999999999</v>
      </c>
      <c r="I609" s="1361">
        <f t="shared" si="118"/>
        <v>607.63440000000003</v>
      </c>
      <c r="J609" s="1361">
        <f t="shared" si="118"/>
        <v>766.96</v>
      </c>
      <c r="K609" s="1361">
        <f t="shared" si="118"/>
        <v>195.96700000000001</v>
      </c>
      <c r="L609" s="1361">
        <f t="shared" si="118"/>
        <v>12.941000000000003</v>
      </c>
      <c r="M609" s="1361">
        <f t="shared" si="118"/>
        <v>806.73299999999995</v>
      </c>
      <c r="N609" s="1361">
        <f t="shared" si="118"/>
        <v>7.0699999999999999E-2</v>
      </c>
      <c r="O609" s="1361">
        <f t="shared" si="118"/>
        <v>3.0700000000000002E-2</v>
      </c>
      <c r="P609" s="1409">
        <f t="shared" si="118"/>
        <v>3.0101999999999998</v>
      </c>
      <c r="Q609" s="360"/>
    </row>
    <row r="610" spans="2:24">
      <c r="B610" s="1343"/>
      <c r="C610" s="1344" t="s">
        <v>12</v>
      </c>
      <c r="D610" s="2261">
        <v>0.7</v>
      </c>
      <c r="E610" s="1355">
        <v>49</v>
      </c>
      <c r="F610" s="1365">
        <v>0.98</v>
      </c>
      <c r="G610" s="1364">
        <v>1.1200000000000001</v>
      </c>
      <c r="H610" s="1364">
        <v>630</v>
      </c>
      <c r="I610" s="1365">
        <v>840</v>
      </c>
      <c r="J610" s="1364">
        <v>840</v>
      </c>
      <c r="K610" s="1364">
        <v>210</v>
      </c>
      <c r="L610" s="1365">
        <v>12.6</v>
      </c>
      <c r="M610" s="1365">
        <v>840</v>
      </c>
      <c r="N610" s="1365">
        <v>7.0000000000000007E-2</v>
      </c>
      <c r="O610" s="1364">
        <v>3.5000000000000003E-2</v>
      </c>
      <c r="P610" s="1366">
        <v>2.8</v>
      </c>
      <c r="Q610" s="360"/>
    </row>
    <row r="611" spans="2:24" ht="15.75" thickBot="1">
      <c r="B611" s="237"/>
      <c r="C611" s="1347" t="s">
        <v>942</v>
      </c>
      <c r="D611" s="1356" t="s">
        <v>280</v>
      </c>
      <c r="E611" s="1416">
        <f>(E609*100/E599)-70</f>
        <v>1.3174285714285787</v>
      </c>
      <c r="F611" s="1370">
        <f t="shared" ref="F611:P611" si="119">(F609*100/F599)-70</f>
        <v>-2.7857142857142776</v>
      </c>
      <c r="G611" s="1370">
        <f t="shared" si="119"/>
        <v>-8.3500000000000014</v>
      </c>
      <c r="H611" s="1370">
        <f t="shared" si="119"/>
        <v>4.1511111111110921</v>
      </c>
      <c r="I611" s="1370">
        <f t="shared" si="119"/>
        <v>-19.363799999999998</v>
      </c>
      <c r="J611" s="1370">
        <f t="shared" si="119"/>
        <v>-6.086666666666666</v>
      </c>
      <c r="K611" s="1370">
        <f t="shared" si="119"/>
        <v>-4.6776666666666671</v>
      </c>
      <c r="L611" s="1370">
        <f t="shared" si="119"/>
        <v>1.8944444444444599</v>
      </c>
      <c r="M611" s="1370">
        <f t="shared" si="119"/>
        <v>-2.7722500000000139</v>
      </c>
      <c r="N611" s="1370">
        <f t="shared" si="119"/>
        <v>0.70000000000000284</v>
      </c>
      <c r="O611" s="1370">
        <f t="shared" si="119"/>
        <v>-8.5999999999999943</v>
      </c>
      <c r="P611" s="1371">
        <f t="shared" si="119"/>
        <v>5.2549999999999955</v>
      </c>
      <c r="Q611" s="360"/>
    </row>
    <row r="612" spans="2:24">
      <c r="P612"/>
      <c r="Q612" s="360"/>
    </row>
    <row r="613" spans="2:24">
      <c r="C613" s="1300" t="s">
        <v>695</v>
      </c>
      <c r="D613"/>
      <c r="E613" s="32"/>
      <c r="K613" s="385"/>
      <c r="P613"/>
      <c r="Q613" s="360"/>
    </row>
    <row r="614" spans="2:24">
      <c r="C614" s="7" t="s">
        <v>754</v>
      </c>
      <c r="D614" s="8"/>
      <c r="E614" s="2"/>
      <c r="K614"/>
      <c r="P614"/>
      <c r="Q614" s="360"/>
    </row>
    <row r="615" spans="2:24">
      <c r="C615" s="1" t="s">
        <v>359</v>
      </c>
      <c r="D615"/>
      <c r="E615"/>
      <c r="F615"/>
      <c r="K615" s="63"/>
      <c r="P615"/>
      <c r="Q615" s="360"/>
    </row>
    <row r="616" spans="2:24">
      <c r="C616" s="19" t="s">
        <v>282</v>
      </c>
      <c r="E616"/>
      <c r="F616"/>
      <c r="G616" s="19"/>
      <c r="H616" s="19"/>
      <c r="K616" s="119"/>
      <c r="P616"/>
      <c r="Q616" s="360"/>
    </row>
    <row r="617" spans="2:24" ht="15.75">
      <c r="C617" s="1300" t="s">
        <v>694</v>
      </c>
      <c r="D617"/>
      <c r="J617" s="20" t="s">
        <v>0</v>
      </c>
      <c r="K617"/>
      <c r="L617" s="2" t="s">
        <v>317</v>
      </c>
      <c r="M617" s="13"/>
      <c r="N617" s="13"/>
      <c r="O617" s="24"/>
      <c r="P617"/>
      <c r="Q617" s="360"/>
    </row>
    <row r="618" spans="2:24" ht="21">
      <c r="B618" s="43" t="s">
        <v>698</v>
      </c>
      <c r="E618"/>
      <c r="F618"/>
      <c r="G618" s="23" t="s">
        <v>364</v>
      </c>
      <c r="H618" s="19"/>
      <c r="K618" s="32"/>
      <c r="P618"/>
      <c r="Q618" s="360"/>
    </row>
    <row r="619" spans="2:24" ht="15.75" thickBot="1">
      <c r="C619" s="94" t="s">
        <v>745</v>
      </c>
      <c r="E619" s="204"/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360"/>
    </row>
    <row r="620" spans="2:24" ht="15.75" thickBot="1">
      <c r="B620" s="1304" t="s">
        <v>700</v>
      </c>
      <c r="C620" s="99"/>
      <c r="D620" s="1376" t="s">
        <v>251</v>
      </c>
      <c r="E620" s="1306" t="s">
        <v>701</v>
      </c>
      <c r="F620" s="1307"/>
      <c r="G620" s="1307"/>
      <c r="H620" s="1308"/>
      <c r="I620" s="1309" t="s">
        <v>730</v>
      </c>
      <c r="J620" s="31"/>
      <c r="K620" s="1310"/>
      <c r="L620" s="31"/>
      <c r="M620" s="31"/>
      <c r="N620" s="31"/>
      <c r="O620" s="31"/>
      <c r="P620" s="54"/>
      <c r="Q620" s="1304" t="s">
        <v>703</v>
      </c>
    </row>
    <row r="621" spans="2:24">
      <c r="B621" s="535" t="s">
        <v>704</v>
      </c>
      <c r="C621" s="530" t="s">
        <v>257</v>
      </c>
      <c r="D621" s="1377" t="s">
        <v>258</v>
      </c>
      <c r="E621" s="1312" t="s">
        <v>705</v>
      </c>
      <c r="F621" s="1313" t="s">
        <v>706</v>
      </c>
      <c r="G621" s="787" t="s">
        <v>707</v>
      </c>
      <c r="H621" s="1314" t="s">
        <v>708</v>
      </c>
      <c r="I621" s="1315" t="s">
        <v>709</v>
      </c>
      <c r="J621" s="1316" t="s">
        <v>710</v>
      </c>
      <c r="K621" s="1317" t="s">
        <v>711</v>
      </c>
      <c r="L621" s="1318" t="s">
        <v>712</v>
      </c>
      <c r="M621" s="1319" t="s">
        <v>713</v>
      </c>
      <c r="N621" s="835" t="s">
        <v>714</v>
      </c>
      <c r="O621" s="1319" t="s">
        <v>715</v>
      </c>
      <c r="P621" s="1320" t="s">
        <v>716</v>
      </c>
      <c r="Q621" s="1321" t="s">
        <v>717</v>
      </c>
    </row>
    <row r="622" spans="2:24" ht="15.75" thickBot="1">
      <c r="B622" s="541" t="s">
        <v>718</v>
      </c>
      <c r="C622" s="579"/>
      <c r="D622" s="537"/>
      <c r="E622" s="56"/>
      <c r="F622" s="1378"/>
      <c r="H622" s="1378"/>
      <c r="I622" s="1379" t="s">
        <v>719</v>
      </c>
      <c r="J622" s="119" t="s">
        <v>720</v>
      </c>
      <c r="K622" s="1380" t="s">
        <v>721</v>
      </c>
      <c r="L622" s="1381" t="s">
        <v>722</v>
      </c>
      <c r="M622" s="1380" t="s">
        <v>723</v>
      </c>
      <c r="N622" s="46" t="s">
        <v>724</v>
      </c>
      <c r="O622" s="1382" t="s">
        <v>725</v>
      </c>
      <c r="P622" s="1383" t="s">
        <v>726</v>
      </c>
      <c r="Q622" s="1330" t="s">
        <v>490</v>
      </c>
    </row>
    <row r="623" spans="2:24">
      <c r="B623" s="99"/>
      <c r="C623" s="774" t="s">
        <v>199</v>
      </c>
      <c r="D623" s="543"/>
      <c r="E623" s="1331"/>
      <c r="F623" s="545"/>
      <c r="G623" s="545"/>
      <c r="H623" s="1412"/>
      <c r="I623" s="1392"/>
      <c r="J623" s="1392"/>
      <c r="K623" s="896"/>
      <c r="L623" s="1392"/>
      <c r="M623" s="1392"/>
      <c r="N623" s="1392"/>
      <c r="O623" s="1392"/>
      <c r="P623" s="1393"/>
      <c r="Q623" s="1413"/>
    </row>
    <row r="624" spans="2:24">
      <c r="B624" s="1272" t="s">
        <v>195</v>
      </c>
      <c r="C624" s="560" t="s">
        <v>380</v>
      </c>
      <c r="D624" s="561">
        <v>205</v>
      </c>
      <c r="E624" s="2411">
        <v>0.51</v>
      </c>
      <c r="F624" s="1359">
        <v>0.13</v>
      </c>
      <c r="G624" s="1359">
        <v>0.02</v>
      </c>
      <c r="H624" s="1298">
        <v>23.92</v>
      </c>
      <c r="I624" s="1359">
        <v>166.61</v>
      </c>
      <c r="J624" s="1359">
        <v>0</v>
      </c>
      <c r="K624" s="1359">
        <v>3.83</v>
      </c>
      <c r="L624" s="1359">
        <v>0.65500000000000003</v>
      </c>
      <c r="M624" s="1359">
        <v>64.822000000000003</v>
      </c>
      <c r="N624" s="1359">
        <v>1.4999999999999999E-2</v>
      </c>
      <c r="O624" s="1359">
        <v>1.0500000000000001E-2</v>
      </c>
      <c r="P624" s="2393">
        <v>0.40799999999999997</v>
      </c>
      <c r="Q624" s="557">
        <v>27</v>
      </c>
      <c r="V624" s="153"/>
      <c r="W624" s="430"/>
      <c r="X624" s="789"/>
    </row>
    <row r="625" spans="2:26">
      <c r="B625" s="1387" t="s">
        <v>322</v>
      </c>
      <c r="C625" s="594" t="s">
        <v>309</v>
      </c>
      <c r="D625" s="1296">
        <v>10</v>
      </c>
      <c r="E625" s="1359">
        <v>0</v>
      </c>
      <c r="F625" s="1359">
        <v>0</v>
      </c>
      <c r="G625" s="1359">
        <v>0.01</v>
      </c>
      <c r="H625" s="1298">
        <v>40</v>
      </c>
      <c r="I625" s="1359">
        <v>2.4</v>
      </c>
      <c r="J625" s="1359">
        <v>3</v>
      </c>
      <c r="K625" s="1359">
        <v>0</v>
      </c>
      <c r="L625" s="1359">
        <v>0.02</v>
      </c>
      <c r="M625" s="1359">
        <v>3</v>
      </c>
      <c r="N625" s="1359">
        <v>0</v>
      </c>
      <c r="O625" s="1359">
        <v>0</v>
      </c>
      <c r="P625" s="1359">
        <v>0</v>
      </c>
      <c r="Q625" s="557">
        <v>9</v>
      </c>
      <c r="V625" s="44"/>
      <c r="W625" s="44"/>
      <c r="X625" s="789"/>
    </row>
    <row r="626" spans="2:26">
      <c r="B626" s="1387" t="s">
        <v>625</v>
      </c>
      <c r="C626" s="185" t="s">
        <v>767</v>
      </c>
      <c r="D626" s="561">
        <v>20</v>
      </c>
      <c r="E626" s="1294">
        <v>0</v>
      </c>
      <c r="F626" s="1294">
        <v>0.14000000000000001</v>
      </c>
      <c r="G626" s="1294">
        <v>0.2</v>
      </c>
      <c r="H626" s="1388">
        <v>113</v>
      </c>
      <c r="I626" s="1359">
        <v>81.33</v>
      </c>
      <c r="J626" s="1359">
        <v>90</v>
      </c>
      <c r="K626" s="1359">
        <v>5.13</v>
      </c>
      <c r="L626" s="1359">
        <v>0</v>
      </c>
      <c r="M626" s="1359">
        <v>25.6</v>
      </c>
      <c r="N626" s="1359">
        <v>0</v>
      </c>
      <c r="O626" s="1359">
        <v>0.01</v>
      </c>
      <c r="P626" s="2412">
        <v>0.13</v>
      </c>
      <c r="Q626" s="557">
        <v>10</v>
      </c>
      <c r="V626" s="44"/>
      <c r="W626" s="44"/>
      <c r="X626" s="789"/>
    </row>
    <row r="627" spans="2:26">
      <c r="B627" s="1530" t="s">
        <v>1022</v>
      </c>
      <c r="C627" s="560" t="s">
        <v>1021</v>
      </c>
      <c r="D627" s="561">
        <v>200</v>
      </c>
      <c r="E627" s="2392">
        <v>1.0920000000000001</v>
      </c>
      <c r="F627" s="380">
        <v>6.3E-2</v>
      </c>
      <c r="G627" s="380">
        <v>0.25900000000000001</v>
      </c>
      <c r="H627" s="1298">
        <v>27.785</v>
      </c>
      <c r="I627" s="1359">
        <v>226.69</v>
      </c>
      <c r="J627" s="1359">
        <v>183.96</v>
      </c>
      <c r="K627" s="380">
        <v>38.159999999999997</v>
      </c>
      <c r="L627" s="1359">
        <v>0.92</v>
      </c>
      <c r="M627" s="1359">
        <v>148.19999999999999</v>
      </c>
      <c r="N627" s="1359">
        <v>8.9999999999999998E-4</v>
      </c>
      <c r="O627" s="1359">
        <v>2.2000000000000001E-3</v>
      </c>
      <c r="P627" s="2393">
        <v>7.8E-2</v>
      </c>
      <c r="Q627" s="557">
        <v>85</v>
      </c>
      <c r="V627" s="44"/>
      <c r="W627" s="44"/>
      <c r="X627" s="789"/>
    </row>
    <row r="628" spans="2:26">
      <c r="B628" s="1272" t="s">
        <v>10</v>
      </c>
      <c r="C628" s="556" t="s">
        <v>11</v>
      </c>
      <c r="D628" s="561">
        <v>50</v>
      </c>
      <c r="E628" s="2392">
        <v>0.1</v>
      </c>
      <c r="F628" s="380">
        <v>0.02</v>
      </c>
      <c r="G628" s="380">
        <v>1.7000000000000001E-2</v>
      </c>
      <c r="H628" s="1298">
        <v>0</v>
      </c>
      <c r="I628" s="1294">
        <v>79.166700000000006</v>
      </c>
      <c r="J628" s="1294">
        <v>64.5</v>
      </c>
      <c r="K628" s="1294">
        <v>20.5</v>
      </c>
      <c r="L628" s="1294">
        <v>0.05</v>
      </c>
      <c r="M628" s="2520">
        <v>37.167000000000002</v>
      </c>
      <c r="N628" s="1294">
        <v>0</v>
      </c>
      <c r="O628" s="1294">
        <v>0</v>
      </c>
      <c r="P628" s="1294">
        <v>0</v>
      </c>
      <c r="Q628" s="557">
        <v>11</v>
      </c>
      <c r="V628" s="44"/>
      <c r="W628" s="44"/>
      <c r="X628" s="789"/>
    </row>
    <row r="629" spans="2:26">
      <c r="B629" s="1351" t="s">
        <v>10</v>
      </c>
      <c r="C629" s="495" t="s">
        <v>792</v>
      </c>
      <c r="D629" s="551">
        <v>40</v>
      </c>
      <c r="E629" s="2402">
        <v>0</v>
      </c>
      <c r="F629" s="381">
        <v>0.08</v>
      </c>
      <c r="G629" s="381">
        <v>0</v>
      </c>
      <c r="H629" s="1298">
        <v>0</v>
      </c>
      <c r="I629" s="242">
        <v>33.200000000000003</v>
      </c>
      <c r="J629" s="242">
        <v>60.54</v>
      </c>
      <c r="K629" s="242">
        <v>19.68</v>
      </c>
      <c r="L629" s="242">
        <v>0.04</v>
      </c>
      <c r="M629" s="1359">
        <v>57.6</v>
      </c>
      <c r="N629" s="1359">
        <v>1E-3</v>
      </c>
      <c r="O629" s="1359">
        <v>0</v>
      </c>
      <c r="P629" s="2412">
        <v>0</v>
      </c>
      <c r="Q629" s="589">
        <v>12</v>
      </c>
      <c r="R629" s="44"/>
      <c r="V629" s="44"/>
      <c r="W629" s="44"/>
      <c r="X629" s="789"/>
    </row>
    <row r="630" spans="2:26" ht="15.75" thickBot="1">
      <c r="B630" s="2560" t="s">
        <v>1004</v>
      </c>
      <c r="C630" s="563" t="s">
        <v>1003</v>
      </c>
      <c r="D630" s="574">
        <v>105</v>
      </c>
      <c r="E630" s="242">
        <v>10.5</v>
      </c>
      <c r="F630" s="2556">
        <v>2.3099999999999999E-2</v>
      </c>
      <c r="G630" s="242">
        <v>2.1000000000000001E-2</v>
      </c>
      <c r="H630" s="2558">
        <v>5.25</v>
      </c>
      <c r="I630" s="2559">
        <v>16.8</v>
      </c>
      <c r="J630" s="242">
        <v>11.55</v>
      </c>
      <c r="K630" s="2557">
        <v>9.4499999999999993</v>
      </c>
      <c r="L630" s="1338">
        <v>2.0299999999999998</v>
      </c>
      <c r="M630" s="242">
        <v>55.55</v>
      </c>
      <c r="N630" s="242">
        <v>1.0500000000000001E-2</v>
      </c>
      <c r="O630" s="2557">
        <v>0</v>
      </c>
      <c r="P630" s="1337">
        <v>0.28399999999999997</v>
      </c>
      <c r="Q630" s="627">
        <v>73</v>
      </c>
      <c r="R630" s="44"/>
      <c r="V630" s="152"/>
      <c r="W630" s="44"/>
      <c r="X630" s="789"/>
    </row>
    <row r="631" spans="2:26">
      <c r="B631" s="1404" t="s">
        <v>283</v>
      </c>
      <c r="C631" s="168"/>
      <c r="D631" s="2302">
        <f>SUM(D624:D630)</f>
        <v>630</v>
      </c>
      <c r="E631" s="566">
        <f t="shared" ref="E631:P631" si="120">SUM(E624:E630)</f>
        <v>12.202</v>
      </c>
      <c r="F631" s="1353">
        <f t="shared" si="120"/>
        <v>0.45610000000000006</v>
      </c>
      <c r="G631" s="1353">
        <f t="shared" si="120"/>
        <v>0.52700000000000002</v>
      </c>
      <c r="H631" s="1353">
        <f t="shared" si="120"/>
        <v>209.95500000000001</v>
      </c>
      <c r="I631" s="1353">
        <f t="shared" si="120"/>
        <v>606.19670000000008</v>
      </c>
      <c r="J631" s="1353">
        <f t="shared" si="120"/>
        <v>413.55000000000007</v>
      </c>
      <c r="K631" s="1353">
        <f t="shared" si="120"/>
        <v>96.750000000000014</v>
      </c>
      <c r="L631" s="1353">
        <f t="shared" si="120"/>
        <v>3.7149999999999999</v>
      </c>
      <c r="M631" s="1353">
        <f t="shared" si="120"/>
        <v>391.93900000000002</v>
      </c>
      <c r="N631" s="1353">
        <f t="shared" si="120"/>
        <v>2.7400000000000001E-2</v>
      </c>
      <c r="O631" s="1353">
        <f>SUM(O624:O630)</f>
        <v>2.2700000000000001E-2</v>
      </c>
      <c r="P631" s="1389">
        <f t="shared" si="120"/>
        <v>0.89999999999999991</v>
      </c>
      <c r="Q631" s="1358"/>
      <c r="R631" s="44"/>
      <c r="V631" s="792"/>
      <c r="W631" s="793"/>
      <c r="X631" s="2310"/>
      <c r="Y631" s="210"/>
      <c r="Z631" s="22"/>
    </row>
    <row r="632" spans="2:26">
      <c r="B632" s="1343"/>
      <c r="C632" s="1344" t="s">
        <v>12</v>
      </c>
      <c r="D632" s="2261">
        <v>0.25</v>
      </c>
      <c r="E632" s="1398">
        <v>17.5</v>
      </c>
      <c r="F632" s="2413">
        <v>0.35</v>
      </c>
      <c r="G632" s="1399">
        <v>0.4</v>
      </c>
      <c r="H632" s="1345">
        <v>225</v>
      </c>
      <c r="I632" s="2413">
        <v>300</v>
      </c>
      <c r="J632" s="1399">
        <v>300</v>
      </c>
      <c r="K632" s="1345">
        <v>75</v>
      </c>
      <c r="L632" s="2413">
        <v>4.5</v>
      </c>
      <c r="M632" s="1346">
        <v>300</v>
      </c>
      <c r="N632" s="2413">
        <v>2.5000000000000001E-2</v>
      </c>
      <c r="O632" s="1399">
        <v>1.2500000000000001E-2</v>
      </c>
      <c r="P632" s="1345">
        <v>1</v>
      </c>
      <c r="Q632" s="1358"/>
      <c r="R632" s="222"/>
      <c r="V632" s="1289"/>
      <c r="W632" s="1289"/>
      <c r="X632" s="1289"/>
      <c r="Y632" s="1029"/>
      <c r="Z632" s="1"/>
    </row>
    <row r="633" spans="2:26" ht="15.75" thickBot="1">
      <c r="B633" s="237"/>
      <c r="C633" s="1347" t="s">
        <v>943</v>
      </c>
      <c r="D633" s="1348" t="s">
        <v>280</v>
      </c>
      <c r="E633" s="1416">
        <f>(E631*100/E655)-25</f>
        <v>-7.5685714285714276</v>
      </c>
      <c r="F633" s="1370">
        <f>(F631*100/F655)-25</f>
        <v>7.5785714285714363</v>
      </c>
      <c r="G633" s="1370">
        <f t="shared" ref="G633:O633" si="121">(G631*100/G655)-25</f>
        <v>7.9375</v>
      </c>
      <c r="H633" s="1370">
        <f t="shared" si="121"/>
        <v>-1.6716666666666669</v>
      </c>
      <c r="I633" s="1370">
        <f t="shared" si="121"/>
        <v>25.516391666666671</v>
      </c>
      <c r="J633" s="1370">
        <f t="shared" si="121"/>
        <v>9.4625000000000057</v>
      </c>
      <c r="K633" s="1370">
        <f t="shared" si="121"/>
        <v>7.2500000000000071</v>
      </c>
      <c r="L633" s="1370">
        <f t="shared" si="121"/>
        <v>-4.3611111111111107</v>
      </c>
      <c r="M633" s="1370">
        <f t="shared" si="121"/>
        <v>7.6615833333333327</v>
      </c>
      <c r="N633" s="1370">
        <f t="shared" si="121"/>
        <v>2.4000000000000021</v>
      </c>
      <c r="O633" s="1370">
        <f t="shared" si="121"/>
        <v>20.399999999999999</v>
      </c>
      <c r="P633" s="1371">
        <f>(P631*100/P655)-25</f>
        <v>-2.5000000000000036</v>
      </c>
      <c r="Q633" s="1358"/>
      <c r="R633" s="153"/>
      <c r="V633" s="1"/>
      <c r="W633" s="1"/>
      <c r="X633" s="1"/>
      <c r="Y633" s="1"/>
      <c r="Z633" s="1"/>
    </row>
    <row r="634" spans="2:26">
      <c r="B634" s="99"/>
      <c r="C634" s="774" t="s">
        <v>152</v>
      </c>
      <c r="D634" s="54"/>
      <c r="E634" s="1471"/>
      <c r="F634" s="2418"/>
      <c r="G634" s="2418"/>
      <c r="H634" s="1472"/>
      <c r="I634" s="1472"/>
      <c r="J634" s="1472"/>
      <c r="K634" s="1472"/>
      <c r="L634" s="1472"/>
      <c r="M634" s="1472"/>
      <c r="N634" s="1472"/>
      <c r="O634" s="1472"/>
      <c r="P634" s="2418"/>
      <c r="Q634" s="1358"/>
      <c r="R634" s="44"/>
      <c r="V634" s="44"/>
      <c r="W634" s="44"/>
      <c r="X634" s="111"/>
      <c r="Y634" s="722"/>
    </row>
    <row r="635" spans="2:26">
      <c r="B635" s="1272" t="s">
        <v>692</v>
      </c>
      <c r="C635" s="2523" t="s">
        <v>691</v>
      </c>
      <c r="D635" s="239">
        <v>60</v>
      </c>
      <c r="E635" s="242">
        <v>6.43</v>
      </c>
      <c r="F635" s="242">
        <v>0.04</v>
      </c>
      <c r="G635" s="242">
        <v>0.02</v>
      </c>
      <c r="H635" s="1298">
        <v>11.4</v>
      </c>
      <c r="I635" s="242">
        <v>12.9</v>
      </c>
      <c r="J635" s="242">
        <v>39.5</v>
      </c>
      <c r="K635" s="242">
        <v>12.9</v>
      </c>
      <c r="L635" s="242">
        <v>0.5</v>
      </c>
      <c r="M635" s="242">
        <v>15</v>
      </c>
      <c r="N635" s="242">
        <v>8.9999999999999998E-4</v>
      </c>
      <c r="O635" s="242">
        <v>0</v>
      </c>
      <c r="P635" s="242">
        <v>0.06</v>
      </c>
      <c r="Q635" s="628">
        <v>3</v>
      </c>
      <c r="R635" s="44"/>
      <c r="V635" s="44"/>
      <c r="W635" s="44"/>
      <c r="X635" s="789"/>
      <c r="Y635" s="722"/>
    </row>
    <row r="636" spans="2:26">
      <c r="B636" s="1272" t="s">
        <v>10</v>
      </c>
      <c r="C636" s="556" t="s">
        <v>395</v>
      </c>
      <c r="D636" s="239">
        <v>60</v>
      </c>
      <c r="E636" s="2392">
        <v>0</v>
      </c>
      <c r="F636" s="380">
        <v>0</v>
      </c>
      <c r="G636" s="380">
        <v>0</v>
      </c>
      <c r="H636" s="1298">
        <v>0</v>
      </c>
      <c r="I636" s="1359">
        <v>0</v>
      </c>
      <c r="J636" s="1359">
        <v>0</v>
      </c>
      <c r="K636" s="380">
        <v>0</v>
      </c>
      <c r="L636" s="1359">
        <v>0</v>
      </c>
      <c r="M636" s="1359">
        <v>0</v>
      </c>
      <c r="N636" s="1359">
        <v>0</v>
      </c>
      <c r="O636" s="1359">
        <v>0</v>
      </c>
      <c r="P636" s="2393">
        <v>0</v>
      </c>
      <c r="Q636" s="628">
        <v>13</v>
      </c>
      <c r="R636" s="44"/>
      <c r="V636" s="153"/>
      <c r="W636" s="153"/>
      <c r="X636" s="789"/>
      <c r="Y636" s="815"/>
    </row>
    <row r="637" spans="2:26">
      <c r="B637" s="1530" t="s">
        <v>835</v>
      </c>
      <c r="C637" s="594" t="s">
        <v>497</v>
      </c>
      <c r="D637" s="410">
        <v>250</v>
      </c>
      <c r="E637" s="1359">
        <v>3.1880000000000002</v>
      </c>
      <c r="F637" s="1359">
        <v>2.5000000000000001E-2</v>
      </c>
      <c r="G637" s="1359">
        <v>0.1</v>
      </c>
      <c r="H637" s="1298">
        <v>61.027000000000001</v>
      </c>
      <c r="I637" s="1359">
        <v>29.95</v>
      </c>
      <c r="J637" s="1359">
        <v>92.188999999999993</v>
      </c>
      <c r="K637" s="1359">
        <v>12.786</v>
      </c>
      <c r="L637" s="1359">
        <v>0.78200000000000003</v>
      </c>
      <c r="M637" s="1359">
        <v>91.6</v>
      </c>
      <c r="N637" s="1359">
        <v>4.0000000000000001E-3</v>
      </c>
      <c r="O637" s="1359">
        <v>0</v>
      </c>
      <c r="P637" s="1359">
        <v>0.434</v>
      </c>
      <c r="Q637" s="628">
        <v>22</v>
      </c>
      <c r="V637" s="152"/>
      <c r="W637" s="152"/>
      <c r="X637" s="789"/>
      <c r="Y637" s="815"/>
    </row>
    <row r="638" spans="2:26">
      <c r="B638" s="1351" t="s">
        <v>20</v>
      </c>
      <c r="C638" s="990" t="s">
        <v>498</v>
      </c>
      <c r="D638" s="166">
        <v>100</v>
      </c>
      <c r="E638" s="386">
        <v>5.53</v>
      </c>
      <c r="F638" s="380">
        <v>0.21</v>
      </c>
      <c r="G638" s="387">
        <v>0.112</v>
      </c>
      <c r="H638" s="2473">
        <v>105.193</v>
      </c>
      <c r="I638" s="1359">
        <v>16.526900000000001</v>
      </c>
      <c r="J638" s="1359">
        <v>25.45</v>
      </c>
      <c r="K638" s="1359">
        <v>16.233000000000001</v>
      </c>
      <c r="L638" s="1359">
        <v>3.3769999999999998</v>
      </c>
      <c r="M638" s="1359">
        <v>15.554</v>
      </c>
      <c r="N638" s="1359">
        <v>2.1999999999999999E-2</v>
      </c>
      <c r="O638" s="1359">
        <v>1.4E-2</v>
      </c>
      <c r="P638" s="2393">
        <v>0.95899999999999996</v>
      </c>
      <c r="Q638" s="1292">
        <v>50</v>
      </c>
      <c r="V638" s="44"/>
      <c r="W638" s="222"/>
      <c r="X638" s="789"/>
      <c r="Y638" s="722"/>
    </row>
    <row r="639" spans="2:26">
      <c r="B639" s="2591" t="s">
        <v>952</v>
      </c>
      <c r="C639" s="595" t="s">
        <v>386</v>
      </c>
      <c r="D639" s="166" t="s">
        <v>1026</v>
      </c>
      <c r="E639" s="372">
        <v>0.23</v>
      </c>
      <c r="F639" s="374">
        <v>0.126</v>
      </c>
      <c r="G639" s="1277">
        <v>0.11899999999999999</v>
      </c>
      <c r="H639" s="1385">
        <v>66.58</v>
      </c>
      <c r="I639" s="373">
        <v>18.16</v>
      </c>
      <c r="J639" s="374">
        <v>14.5</v>
      </c>
      <c r="K639" s="373">
        <v>9.9120000000000008</v>
      </c>
      <c r="L639" s="374">
        <v>1.18</v>
      </c>
      <c r="M639" s="373">
        <v>1.61</v>
      </c>
      <c r="N639" s="1430">
        <v>7.0000000000000001E-3</v>
      </c>
      <c r="O639" s="373">
        <v>3.2000000000000002E-3</v>
      </c>
      <c r="P639" s="2543">
        <v>6.0000000000000001E-3</v>
      </c>
      <c r="Q639" s="1292">
        <v>35</v>
      </c>
      <c r="V639" s="153"/>
      <c r="W639" s="153"/>
      <c r="X639" s="789"/>
      <c r="Y639" s="3"/>
    </row>
    <row r="640" spans="2:26">
      <c r="B640" s="2589"/>
      <c r="C640" s="594" t="s">
        <v>591</v>
      </c>
      <c r="D640" s="2521"/>
      <c r="E640" s="2467"/>
      <c r="F640" s="2397"/>
      <c r="G640" s="2433"/>
      <c r="H640" s="1535"/>
      <c r="I640" s="2533"/>
      <c r="J640" s="2448"/>
      <c r="K640" s="2533"/>
      <c r="L640" s="2448"/>
      <c r="M640" s="2533"/>
      <c r="N640" s="2448"/>
      <c r="O640" s="2533"/>
      <c r="P640" s="2544"/>
      <c r="Q640" s="1397"/>
      <c r="V640" s="44"/>
      <c r="W640" s="222"/>
      <c r="X640" s="789"/>
      <c r="Y640" s="722"/>
    </row>
    <row r="641" spans="2:26">
      <c r="B641" s="1272" t="s">
        <v>637</v>
      </c>
      <c r="C641" s="556" t="s">
        <v>219</v>
      </c>
      <c r="D641" s="239">
        <v>200</v>
      </c>
      <c r="E641" s="2392">
        <v>0.02</v>
      </c>
      <c r="F641" s="380">
        <v>0</v>
      </c>
      <c r="G641" s="380">
        <v>0</v>
      </c>
      <c r="H641" s="1384">
        <v>15</v>
      </c>
      <c r="I641" s="1359">
        <v>49.1</v>
      </c>
      <c r="J641" s="1359">
        <v>4.3</v>
      </c>
      <c r="K641" s="1359">
        <v>2.1</v>
      </c>
      <c r="L641" s="1359">
        <v>0.09</v>
      </c>
      <c r="M641" s="1359">
        <v>0.17</v>
      </c>
      <c r="N641" s="1359">
        <v>0</v>
      </c>
      <c r="O641" s="1359">
        <v>0</v>
      </c>
      <c r="P641" s="2412">
        <v>0</v>
      </c>
      <c r="Q641" s="1397">
        <v>78</v>
      </c>
      <c r="V641" s="44"/>
      <c r="W641" s="44"/>
      <c r="X641" s="789"/>
      <c r="Y641" s="722"/>
    </row>
    <row r="642" spans="2:26">
      <c r="B642" s="1272" t="s">
        <v>10</v>
      </c>
      <c r="C642" s="556" t="s">
        <v>11</v>
      </c>
      <c r="D642" s="239">
        <v>40</v>
      </c>
      <c r="E642" s="2392">
        <v>0.08</v>
      </c>
      <c r="F642" s="380">
        <v>1.6E-2</v>
      </c>
      <c r="G642" s="380">
        <v>1.3299999999999999E-2</v>
      </c>
      <c r="H642" s="1298">
        <v>0</v>
      </c>
      <c r="I642" s="1359">
        <v>63.332999999999998</v>
      </c>
      <c r="J642" s="1359">
        <v>51.6</v>
      </c>
      <c r="K642" s="1359">
        <v>16.399999999999999</v>
      </c>
      <c r="L642" s="1359">
        <v>0.04</v>
      </c>
      <c r="M642" s="2498">
        <v>29.733000000000001</v>
      </c>
      <c r="N642" s="1359">
        <v>0</v>
      </c>
      <c r="O642" s="1359">
        <v>0</v>
      </c>
      <c r="P642" s="1359">
        <v>0</v>
      </c>
      <c r="Q642" s="628">
        <v>11</v>
      </c>
      <c r="V642" s="44"/>
      <c r="W642" s="44"/>
      <c r="X642" s="789"/>
      <c r="Y642" s="722"/>
    </row>
    <row r="643" spans="2:26" ht="15.75" thickBot="1">
      <c r="B643" s="1352" t="s">
        <v>10</v>
      </c>
      <c r="C643" s="563" t="s">
        <v>792</v>
      </c>
      <c r="D643" s="2522">
        <v>30</v>
      </c>
      <c r="E643" s="2402">
        <v>0</v>
      </c>
      <c r="F643" s="381">
        <v>0.06</v>
      </c>
      <c r="G643" s="381">
        <v>0</v>
      </c>
      <c r="H643" s="1465">
        <v>0</v>
      </c>
      <c r="I643" s="1294">
        <v>24.9</v>
      </c>
      <c r="J643" s="1294">
        <v>58.2</v>
      </c>
      <c r="K643" s="381">
        <v>17.100000000000001</v>
      </c>
      <c r="L643" s="1294">
        <v>0.03</v>
      </c>
      <c r="M643" s="1294">
        <v>43.2</v>
      </c>
      <c r="N643" s="1294">
        <v>8.9999999999999998E-4</v>
      </c>
      <c r="O643" s="1294">
        <v>0</v>
      </c>
      <c r="P643" s="2417">
        <v>0</v>
      </c>
      <c r="Q643" s="628">
        <v>12</v>
      </c>
      <c r="V643" s="792"/>
      <c r="W643" s="793"/>
      <c r="X643" s="2310"/>
      <c r="Y643" s="210"/>
      <c r="Z643" s="22"/>
    </row>
    <row r="644" spans="2:26">
      <c r="B644" s="1404" t="s">
        <v>269</v>
      </c>
      <c r="C644" s="34"/>
      <c r="D644" s="577">
        <f>D635+D636+D637+D638+D641+D642+D643+155+35</f>
        <v>930</v>
      </c>
      <c r="E644" s="575">
        <f t="shared" ref="E644:P644" si="122">SUM(E635:E643)</f>
        <v>15.478</v>
      </c>
      <c r="F644" s="1353">
        <f t="shared" si="122"/>
        <v>0.47700000000000004</v>
      </c>
      <c r="G644" s="1353">
        <f t="shared" si="122"/>
        <v>0.36429999999999996</v>
      </c>
      <c r="H644" s="1353">
        <f t="shared" si="122"/>
        <v>259.2</v>
      </c>
      <c r="I644" s="1353">
        <f t="shared" si="122"/>
        <v>214.8699</v>
      </c>
      <c r="J644" s="1353">
        <f t="shared" si="122"/>
        <v>285.73899999999998</v>
      </c>
      <c r="K644" s="1353">
        <f t="shared" si="122"/>
        <v>87.430999999999983</v>
      </c>
      <c r="L644" s="1353">
        <f t="shared" si="122"/>
        <v>5.9989999999999997</v>
      </c>
      <c r="M644" s="1353">
        <f t="shared" si="122"/>
        <v>196.86700000000002</v>
      </c>
      <c r="N644" s="1353">
        <f t="shared" si="122"/>
        <v>3.4799999999999998E-2</v>
      </c>
      <c r="O644" s="1353">
        <f>SUM(O635:O643)</f>
        <v>1.72E-2</v>
      </c>
      <c r="P644" s="1389">
        <f t="shared" si="122"/>
        <v>1.4589999999999999</v>
      </c>
      <c r="Q644" s="1358"/>
      <c r="V644" s="1289"/>
      <c r="W644" s="1289"/>
      <c r="X644" s="1289"/>
      <c r="Y644" s="1029"/>
      <c r="Z644" s="1"/>
    </row>
    <row r="645" spans="2:26" ht="15.75" thickBot="1">
      <c r="B645" s="1343"/>
      <c r="C645" s="1344" t="s">
        <v>12</v>
      </c>
      <c r="D645" s="2295">
        <v>0.35</v>
      </c>
      <c r="E645" s="1422">
        <v>24.5</v>
      </c>
      <c r="F645" s="1423">
        <v>0.49</v>
      </c>
      <c r="G645" s="1424">
        <v>0.56000000000000005</v>
      </c>
      <c r="H645" s="1461">
        <v>315</v>
      </c>
      <c r="I645" s="1423">
        <v>420</v>
      </c>
      <c r="J645" s="1424">
        <v>420</v>
      </c>
      <c r="K645" s="1461">
        <v>105</v>
      </c>
      <c r="L645" s="1423">
        <v>6.3</v>
      </c>
      <c r="M645" s="2445">
        <v>420</v>
      </c>
      <c r="N645" s="1423">
        <v>3.5000000000000003E-2</v>
      </c>
      <c r="O645" s="1424">
        <v>1.7500000000000002E-2</v>
      </c>
      <c r="P645" s="1461">
        <v>1.4</v>
      </c>
      <c r="Q645" s="1358"/>
      <c r="V645" s="1"/>
      <c r="W645" s="1"/>
      <c r="X645" s="1"/>
      <c r="Y645" s="1"/>
      <c r="Z645" s="1"/>
    </row>
    <row r="646" spans="2:26" ht="15.75" thickBot="1">
      <c r="B646" s="237"/>
      <c r="C646" s="1347" t="s">
        <v>943</v>
      </c>
      <c r="D646" s="1348" t="s">
        <v>280</v>
      </c>
      <c r="E646" s="1416">
        <f>(E644*100/E655)-35</f>
        <v>-12.888571428571428</v>
      </c>
      <c r="F646" s="1370">
        <f t="shared" ref="F646:O646" si="123">(F644*100/F655)-35</f>
        <v>-0.9285714285714235</v>
      </c>
      <c r="G646" s="1370">
        <f t="shared" si="123"/>
        <v>-12.231250000000006</v>
      </c>
      <c r="H646" s="1370">
        <f t="shared" si="123"/>
        <v>-6.1999999999999993</v>
      </c>
      <c r="I646" s="1370">
        <f t="shared" si="123"/>
        <v>-17.094175</v>
      </c>
      <c r="J646" s="1370">
        <f t="shared" si="123"/>
        <v>-11.188416666666669</v>
      </c>
      <c r="K646" s="1370">
        <f t="shared" si="123"/>
        <v>-5.8563333333333389</v>
      </c>
      <c r="L646" s="1370">
        <f t="shared" si="123"/>
        <v>-1.6722222222222243</v>
      </c>
      <c r="M646" s="1370">
        <f t="shared" si="123"/>
        <v>-18.594416666666667</v>
      </c>
      <c r="N646" s="1370">
        <f t="shared" si="123"/>
        <v>-0.20000000000000995</v>
      </c>
      <c r="O646" s="1370">
        <f t="shared" si="123"/>
        <v>-0.60000000000000142</v>
      </c>
      <c r="P646" s="1371">
        <f>(P644*100/P655)-35</f>
        <v>1.4749999999999943</v>
      </c>
      <c r="Q646" s="1358"/>
      <c r="V646" s="44"/>
      <c r="W646" s="44"/>
      <c r="X646" s="789"/>
      <c r="Y646" s="815"/>
      <c r="Z646" s="721"/>
    </row>
    <row r="647" spans="2:26">
      <c r="B647" s="550"/>
      <c r="C647" s="162" t="s">
        <v>324</v>
      </c>
      <c r="D647" s="99"/>
      <c r="E647" s="2422"/>
      <c r="F647" s="1390"/>
      <c r="G647" s="1390"/>
      <c r="H647" s="2423"/>
      <c r="I647" s="2423"/>
      <c r="J647" s="2423"/>
      <c r="K647" s="2423"/>
      <c r="L647" s="2423"/>
      <c r="M647" s="2423"/>
      <c r="N647" s="2423"/>
      <c r="O647" s="2423"/>
      <c r="P647" s="2424"/>
      <c r="Q647" s="1358"/>
      <c r="V647" s="44"/>
      <c r="W647" s="44"/>
      <c r="X647" s="789"/>
      <c r="Y647" s="3"/>
      <c r="Z647" s="2319"/>
    </row>
    <row r="648" spans="2:26">
      <c r="B648" s="558" t="s">
        <v>9</v>
      </c>
      <c r="C648" s="560" t="s">
        <v>151</v>
      </c>
      <c r="D648" s="561">
        <v>200</v>
      </c>
      <c r="E648" s="2392">
        <v>4</v>
      </c>
      <c r="F648" s="380">
        <v>0.02</v>
      </c>
      <c r="G648" s="380">
        <v>0.02</v>
      </c>
      <c r="H648" s="1384">
        <v>0</v>
      </c>
      <c r="I648" s="1359">
        <v>14</v>
      </c>
      <c r="J648" s="1359">
        <v>14</v>
      </c>
      <c r="K648" s="380">
        <v>8</v>
      </c>
      <c r="L648" s="1359">
        <v>1.1679999999999999</v>
      </c>
      <c r="M648" s="1359">
        <v>99.6</v>
      </c>
      <c r="N648" s="1359">
        <v>2E-3</v>
      </c>
      <c r="O648" s="1359">
        <v>0</v>
      </c>
      <c r="P648" s="2393">
        <v>0</v>
      </c>
      <c r="Q648" s="628">
        <v>76</v>
      </c>
      <c r="V648" s="44"/>
      <c r="W648" s="44"/>
      <c r="X648" s="805"/>
      <c r="Y648" s="722"/>
      <c r="Z648" s="721"/>
    </row>
    <row r="649" spans="2:26">
      <c r="B649" s="1541" t="s">
        <v>817</v>
      </c>
      <c r="C649" s="990" t="s">
        <v>467</v>
      </c>
      <c r="D649" s="778" t="s">
        <v>535</v>
      </c>
      <c r="E649" s="1359">
        <v>5.96</v>
      </c>
      <c r="F649" s="1359">
        <v>0.112</v>
      </c>
      <c r="G649" s="1359">
        <v>0.13300000000000001</v>
      </c>
      <c r="H649" s="1298">
        <v>100</v>
      </c>
      <c r="I649" s="1359">
        <v>86.35</v>
      </c>
      <c r="J649" s="1359">
        <v>80.2</v>
      </c>
      <c r="K649" s="1359">
        <v>5.8</v>
      </c>
      <c r="L649" s="1359">
        <v>0.61199999999999999</v>
      </c>
      <c r="M649" s="1359">
        <v>23.934999999999999</v>
      </c>
      <c r="N649" s="1359">
        <v>7.0000000000000001E-3</v>
      </c>
      <c r="O649" s="1359">
        <v>0</v>
      </c>
      <c r="P649" s="1359">
        <v>0.4</v>
      </c>
      <c r="Q649" s="628">
        <v>52</v>
      </c>
      <c r="V649" s="792"/>
      <c r="W649" s="793"/>
      <c r="X649" s="2310"/>
      <c r="Y649" s="210"/>
      <c r="Z649" s="22"/>
    </row>
    <row r="650" spans="2:26" ht="15.75" thickBot="1">
      <c r="B650" s="1351" t="s">
        <v>10</v>
      </c>
      <c r="C650" s="573" t="s">
        <v>792</v>
      </c>
      <c r="D650" s="574">
        <v>20</v>
      </c>
      <c r="E650" s="2402">
        <v>0</v>
      </c>
      <c r="F650" s="381">
        <v>0.04</v>
      </c>
      <c r="G650" s="381">
        <v>0</v>
      </c>
      <c r="H650" s="1465">
        <v>0</v>
      </c>
      <c r="I650" s="242">
        <v>16.600000000000001</v>
      </c>
      <c r="J650" s="242">
        <v>38.799999999999997</v>
      </c>
      <c r="K650" s="242">
        <v>11.4</v>
      </c>
      <c r="L650" s="242">
        <v>0.02</v>
      </c>
      <c r="M650" s="242">
        <v>28.8</v>
      </c>
      <c r="N650" s="242">
        <v>5.0000000000000001E-4</v>
      </c>
      <c r="O650" s="242">
        <v>0</v>
      </c>
      <c r="P650" s="1337">
        <v>0</v>
      </c>
      <c r="Q650" s="1281">
        <v>12</v>
      </c>
    </row>
    <row r="651" spans="2:26">
      <c r="B651" s="1404" t="s">
        <v>357</v>
      </c>
      <c r="C651" s="34"/>
      <c r="D651" s="832">
        <f>D648+D650+100+30</f>
        <v>350</v>
      </c>
      <c r="E651" s="575">
        <f t="shared" ref="E651:P651" si="124">SUM(E648:E650)</f>
        <v>9.9600000000000009</v>
      </c>
      <c r="F651" s="1353">
        <f t="shared" si="124"/>
        <v>0.17200000000000001</v>
      </c>
      <c r="G651" s="1353">
        <f t="shared" si="124"/>
        <v>0.153</v>
      </c>
      <c r="H651" s="1353">
        <f t="shared" si="124"/>
        <v>100</v>
      </c>
      <c r="I651" s="1353">
        <f t="shared" si="124"/>
        <v>116.94999999999999</v>
      </c>
      <c r="J651" s="1353">
        <f t="shared" si="124"/>
        <v>133</v>
      </c>
      <c r="K651" s="1353">
        <f t="shared" si="124"/>
        <v>25.200000000000003</v>
      </c>
      <c r="L651" s="1353">
        <f>SUM(L648:L650)</f>
        <v>1.7999999999999998</v>
      </c>
      <c r="M651" s="1353">
        <f t="shared" si="124"/>
        <v>152.33500000000001</v>
      </c>
      <c r="N651" s="1353">
        <f t="shared" si="124"/>
        <v>9.5000000000000015E-3</v>
      </c>
      <c r="O651" s="1353">
        <f t="shared" si="124"/>
        <v>0</v>
      </c>
      <c r="P651" s="1405">
        <f t="shared" si="124"/>
        <v>0.4</v>
      </c>
      <c r="Q651" s="360"/>
    </row>
    <row r="652" spans="2:26">
      <c r="B652" s="1343"/>
      <c r="C652" s="1344" t="s">
        <v>12</v>
      </c>
      <c r="D652" s="2261">
        <v>0.1</v>
      </c>
      <c r="E652" s="1355">
        <v>7</v>
      </c>
      <c r="F652" s="1365">
        <v>0.14000000000000001</v>
      </c>
      <c r="G652" s="1364">
        <v>0.16</v>
      </c>
      <c r="H652" s="1363">
        <v>90</v>
      </c>
      <c r="I652" s="1365">
        <v>120</v>
      </c>
      <c r="J652" s="1364">
        <v>120</v>
      </c>
      <c r="K652" s="1363">
        <v>30</v>
      </c>
      <c r="L652" s="1365">
        <v>1.8</v>
      </c>
      <c r="M652" s="1369">
        <v>120</v>
      </c>
      <c r="N652" s="1365">
        <v>0.01</v>
      </c>
      <c r="O652" s="1364">
        <v>5.0000000000000001E-3</v>
      </c>
      <c r="P652" s="1366">
        <v>0.4</v>
      </c>
      <c r="Q652" s="360"/>
    </row>
    <row r="653" spans="2:26" ht="15.75" thickBot="1">
      <c r="B653" s="237"/>
      <c r="C653" s="1347" t="s">
        <v>943</v>
      </c>
      <c r="D653" s="1356" t="s">
        <v>280</v>
      </c>
      <c r="E653" s="1416">
        <f>(E651*100/E655)-10</f>
        <v>4.2285714285714295</v>
      </c>
      <c r="F653" s="1370">
        <f t="shared" ref="F653:O653" si="125">(F651*100/F655)-10</f>
        <v>2.2857142857142883</v>
      </c>
      <c r="G653" s="1370">
        <f t="shared" si="125"/>
        <v>-0.43750000000000178</v>
      </c>
      <c r="H653" s="1370">
        <f t="shared" si="125"/>
        <v>1.1111111111111107</v>
      </c>
      <c r="I653" s="1370">
        <f t="shared" si="125"/>
        <v>-0.25416666666666821</v>
      </c>
      <c r="J653" s="1370">
        <f t="shared" si="125"/>
        <v>1.0833333333333339</v>
      </c>
      <c r="K653" s="1370">
        <f t="shared" si="125"/>
        <v>-1.5999999999999979</v>
      </c>
      <c r="L653" s="1370">
        <f t="shared" si="125"/>
        <v>0</v>
      </c>
      <c r="M653" s="1370">
        <f t="shared" si="125"/>
        <v>2.694583333333334</v>
      </c>
      <c r="N653" s="1370">
        <f t="shared" si="125"/>
        <v>-0.49999999999999822</v>
      </c>
      <c r="O653" s="1370">
        <f t="shared" si="125"/>
        <v>-10</v>
      </c>
      <c r="P653" s="1371">
        <f>(P651*100/P655)-10</f>
        <v>0</v>
      </c>
      <c r="Q653" s="360"/>
    </row>
    <row r="654" spans="2:26" ht="15.75" thickBot="1"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</row>
    <row r="655" spans="2:26" ht="15.75" thickBot="1">
      <c r="B655" s="2369" t="s">
        <v>959</v>
      </c>
      <c r="C655" s="2262"/>
      <c r="D655" s="2263">
        <v>1</v>
      </c>
      <c r="E655" s="2407">
        <v>70</v>
      </c>
      <c r="F655" s="2408">
        <v>1.4</v>
      </c>
      <c r="G655" s="2408">
        <v>1.6</v>
      </c>
      <c r="H655" s="2264">
        <v>900</v>
      </c>
      <c r="I655" s="2405">
        <v>1200</v>
      </c>
      <c r="J655" s="2406">
        <v>1200</v>
      </c>
      <c r="K655" s="2406">
        <v>300</v>
      </c>
      <c r="L655" s="2409">
        <v>18</v>
      </c>
      <c r="M655" s="2405">
        <v>1200</v>
      </c>
      <c r="N655" s="2409">
        <v>0.1</v>
      </c>
      <c r="O655" s="2409">
        <v>0.05</v>
      </c>
      <c r="P655" s="2410">
        <v>4</v>
      </c>
      <c r="Q655" s="360"/>
    </row>
    <row r="656" spans="2:26">
      <c r="B656" s="1021"/>
      <c r="C656" s="34" t="s">
        <v>481</v>
      </c>
      <c r="D656" s="35"/>
      <c r="E656" s="145">
        <f>E631+E644</f>
        <v>27.68</v>
      </c>
      <c r="F656" s="243">
        <f t="shared" ref="F656:P656" si="126">F631+F644</f>
        <v>0.93310000000000004</v>
      </c>
      <c r="G656" s="243">
        <f t="shared" si="126"/>
        <v>0.89129999999999998</v>
      </c>
      <c r="H656" s="243">
        <f t="shared" si="126"/>
        <v>469.15499999999997</v>
      </c>
      <c r="I656" s="243">
        <f t="shared" si="126"/>
        <v>821.06660000000011</v>
      </c>
      <c r="J656" s="243">
        <f t="shared" si="126"/>
        <v>699.28899999999999</v>
      </c>
      <c r="K656" s="243">
        <f t="shared" si="126"/>
        <v>184.18099999999998</v>
      </c>
      <c r="L656" s="243">
        <f t="shared" si="126"/>
        <v>9.7139999999999986</v>
      </c>
      <c r="M656" s="243">
        <f t="shared" si="126"/>
        <v>588.80600000000004</v>
      </c>
      <c r="N656" s="243">
        <f t="shared" si="126"/>
        <v>6.2199999999999998E-2</v>
      </c>
      <c r="O656" s="243">
        <f t="shared" si="126"/>
        <v>3.9900000000000005E-2</v>
      </c>
      <c r="P656" s="1024">
        <f t="shared" si="126"/>
        <v>2.359</v>
      </c>
      <c r="Q656" s="360"/>
    </row>
    <row r="657" spans="2:17">
      <c r="B657" s="513"/>
      <c r="C657" s="1368" t="s">
        <v>12</v>
      </c>
      <c r="D657" s="2261">
        <v>0.6</v>
      </c>
      <c r="E657" s="1355">
        <v>42</v>
      </c>
      <c r="F657" s="1365">
        <v>0.84</v>
      </c>
      <c r="G657" s="1364">
        <v>0.96</v>
      </c>
      <c r="H657" s="1363">
        <v>540</v>
      </c>
      <c r="I657" s="1365">
        <v>720</v>
      </c>
      <c r="J657" s="1364">
        <v>720</v>
      </c>
      <c r="K657" s="1363">
        <v>180</v>
      </c>
      <c r="L657" s="1365">
        <v>10.8</v>
      </c>
      <c r="M657" s="1369">
        <v>720</v>
      </c>
      <c r="N657" s="1365">
        <v>0.06</v>
      </c>
      <c r="O657" s="1364">
        <v>0.03</v>
      </c>
      <c r="P657" s="1366">
        <v>2.4</v>
      </c>
      <c r="Q657" s="360"/>
    </row>
    <row r="658" spans="2:17" ht="15.75" thickBot="1">
      <c r="B658" s="237"/>
      <c r="C658" s="1347" t="s">
        <v>943</v>
      </c>
      <c r="D658" s="1356" t="s">
        <v>280</v>
      </c>
      <c r="E658" s="1416">
        <f>(E656*100/E655)-60</f>
        <v>-20.457142857142856</v>
      </c>
      <c r="F658" s="1370">
        <f t="shared" ref="F658:O658" si="127">(F656*100/F655)-60</f>
        <v>6.6500000000000057</v>
      </c>
      <c r="G658" s="1370">
        <f t="shared" si="127"/>
        <v>-4.2937500000000028</v>
      </c>
      <c r="H658" s="1370">
        <f t="shared" si="127"/>
        <v>-7.8716666666666697</v>
      </c>
      <c r="I658" s="1370">
        <f t="shared" si="127"/>
        <v>8.4222166666666709</v>
      </c>
      <c r="J658" s="1370">
        <f t="shared" si="127"/>
        <v>-1.7259166666666701</v>
      </c>
      <c r="K658" s="1370">
        <f t="shared" si="127"/>
        <v>1.3936666666666611</v>
      </c>
      <c r="L658" s="1370">
        <f t="shared" si="127"/>
        <v>-6.0333333333333385</v>
      </c>
      <c r="M658" s="1370">
        <f t="shared" si="127"/>
        <v>-10.932833333333328</v>
      </c>
      <c r="N658" s="1370">
        <f t="shared" si="127"/>
        <v>2.1999999999999957</v>
      </c>
      <c r="O658" s="1370">
        <f t="shared" si="127"/>
        <v>19.800000000000011</v>
      </c>
      <c r="P658" s="1371">
        <f>(P656*100/P655)-60</f>
        <v>-1.0249999999999986</v>
      </c>
      <c r="Q658" s="360"/>
    </row>
    <row r="659" spans="2:17" ht="13.5" customHeight="1" thickBot="1"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360"/>
    </row>
    <row r="660" spans="2:17" ht="12" customHeight="1">
      <c r="B660" s="1021"/>
      <c r="C660" s="34" t="s">
        <v>480</v>
      </c>
      <c r="D660" s="35"/>
      <c r="E660" s="145">
        <f>E644+E651</f>
        <v>25.438000000000002</v>
      </c>
      <c r="F660" s="243">
        <f t="shared" ref="F660:P660" si="128">F644+F651</f>
        <v>0.64900000000000002</v>
      </c>
      <c r="G660" s="243">
        <f t="shared" si="128"/>
        <v>0.51729999999999998</v>
      </c>
      <c r="H660" s="243">
        <f t="shared" si="128"/>
        <v>359.2</v>
      </c>
      <c r="I660" s="243">
        <f t="shared" si="128"/>
        <v>331.81989999999996</v>
      </c>
      <c r="J660" s="243">
        <f t="shared" si="128"/>
        <v>418.73899999999998</v>
      </c>
      <c r="K660" s="243">
        <f t="shared" si="128"/>
        <v>112.63099999999999</v>
      </c>
      <c r="L660" s="243">
        <f t="shared" si="128"/>
        <v>7.7989999999999995</v>
      </c>
      <c r="M660" s="243">
        <f t="shared" si="128"/>
        <v>349.202</v>
      </c>
      <c r="N660" s="243">
        <f t="shared" si="128"/>
        <v>4.4299999999999999E-2</v>
      </c>
      <c r="O660" s="243">
        <f t="shared" si="128"/>
        <v>1.72E-2</v>
      </c>
      <c r="P660" s="1024">
        <f t="shared" si="128"/>
        <v>1.859</v>
      </c>
      <c r="Q660" s="360"/>
    </row>
    <row r="661" spans="2:17" ht="11.25" customHeight="1">
      <c r="B661" s="513"/>
      <c r="C661" s="1368" t="s">
        <v>12</v>
      </c>
      <c r="D661" s="2261">
        <v>0.45</v>
      </c>
      <c r="E661" s="1355">
        <v>31.5</v>
      </c>
      <c r="F661" s="1365">
        <v>0.63</v>
      </c>
      <c r="G661" s="1364">
        <v>0.72</v>
      </c>
      <c r="H661" s="1364">
        <v>405</v>
      </c>
      <c r="I661" s="1365">
        <v>540</v>
      </c>
      <c r="J661" s="1364">
        <v>540</v>
      </c>
      <c r="K661" s="1364">
        <v>135</v>
      </c>
      <c r="L661" s="1365">
        <v>8.1</v>
      </c>
      <c r="M661" s="1365">
        <v>540</v>
      </c>
      <c r="N661" s="1365">
        <v>4.4999999999999998E-2</v>
      </c>
      <c r="O661" s="1364">
        <v>2.2499999999999999E-2</v>
      </c>
      <c r="P661" s="1366">
        <v>1.8</v>
      </c>
      <c r="Q661" s="360"/>
    </row>
    <row r="662" spans="2:17" ht="13.5" customHeight="1" thickBot="1">
      <c r="B662" s="237"/>
      <c r="C662" s="1347" t="s">
        <v>943</v>
      </c>
      <c r="D662" s="1356" t="s">
        <v>280</v>
      </c>
      <c r="E662" s="1416">
        <f>(E660*100/E655)-45</f>
        <v>-8.6599999999999966</v>
      </c>
      <c r="F662" s="1370">
        <f t="shared" ref="F662:P662" si="129">(F660*100/F655)-45</f>
        <v>1.3571428571428612</v>
      </c>
      <c r="G662" s="1370">
        <f t="shared" si="129"/>
        <v>-12.668750000000003</v>
      </c>
      <c r="H662" s="1370">
        <f t="shared" si="129"/>
        <v>-5.0888888888888886</v>
      </c>
      <c r="I662" s="1370">
        <f t="shared" si="129"/>
        <v>-17.34834166666667</v>
      </c>
      <c r="J662" s="1370">
        <f t="shared" si="129"/>
        <v>-10.10508333333334</v>
      </c>
      <c r="K662" s="1370">
        <f t="shared" si="129"/>
        <v>-7.4563333333333404</v>
      </c>
      <c r="L662" s="1370">
        <f t="shared" si="129"/>
        <v>-1.6722222222222243</v>
      </c>
      <c r="M662" s="1370">
        <f t="shared" si="129"/>
        <v>-15.899833333333337</v>
      </c>
      <c r="N662" s="1370">
        <f t="shared" si="129"/>
        <v>-0.70000000000000284</v>
      </c>
      <c r="O662" s="1370">
        <f t="shared" si="129"/>
        <v>-10.600000000000001</v>
      </c>
      <c r="P662" s="1371">
        <f t="shared" si="129"/>
        <v>1.4750000000000014</v>
      </c>
      <c r="Q662" s="360"/>
    </row>
    <row r="663" spans="2:17" ht="13.5" customHeight="1" thickBot="1"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360"/>
    </row>
    <row r="664" spans="2:17" ht="13.5" customHeight="1" thickBot="1">
      <c r="B664" s="1463" t="s">
        <v>741</v>
      </c>
      <c r="C664" s="34"/>
      <c r="D664" s="35"/>
      <c r="E664" s="1408">
        <f>E631+E644+E651</f>
        <v>37.64</v>
      </c>
      <c r="F664" s="1361">
        <f t="shared" ref="F664:P664" si="130">F631+F644+F651</f>
        <v>1.1051</v>
      </c>
      <c r="G664" s="1361">
        <f t="shared" si="130"/>
        <v>1.0443</v>
      </c>
      <c r="H664" s="1361">
        <f t="shared" si="130"/>
        <v>569.15499999999997</v>
      </c>
      <c r="I664" s="1361">
        <f t="shared" si="130"/>
        <v>938.01660000000015</v>
      </c>
      <c r="J664" s="1361">
        <f t="shared" si="130"/>
        <v>832.28899999999999</v>
      </c>
      <c r="K664" s="1361">
        <f t="shared" si="130"/>
        <v>209.38099999999997</v>
      </c>
      <c r="L664" s="1361">
        <f t="shared" si="130"/>
        <v>11.513999999999999</v>
      </c>
      <c r="M664" s="1361">
        <f t="shared" si="130"/>
        <v>741.14100000000008</v>
      </c>
      <c r="N664" s="1361">
        <f t="shared" si="130"/>
        <v>7.17E-2</v>
      </c>
      <c r="O664" s="1361">
        <f t="shared" si="130"/>
        <v>3.9900000000000005E-2</v>
      </c>
      <c r="P664" s="1409">
        <f t="shared" si="130"/>
        <v>2.7589999999999999</v>
      </c>
      <c r="Q664" s="360"/>
    </row>
    <row r="665" spans="2:17">
      <c r="B665" s="88"/>
      <c r="C665" s="1368" t="s">
        <v>12</v>
      </c>
      <c r="D665" s="2261">
        <v>0.7</v>
      </c>
      <c r="E665" s="1355">
        <v>49</v>
      </c>
      <c r="F665" s="1365">
        <v>0.98</v>
      </c>
      <c r="G665" s="1364">
        <v>1.1200000000000001</v>
      </c>
      <c r="H665" s="1364">
        <v>630</v>
      </c>
      <c r="I665" s="1365">
        <v>840</v>
      </c>
      <c r="J665" s="1364">
        <v>840</v>
      </c>
      <c r="K665" s="1364">
        <v>210</v>
      </c>
      <c r="L665" s="1365">
        <v>12.6</v>
      </c>
      <c r="M665" s="1365">
        <v>840</v>
      </c>
      <c r="N665" s="1365">
        <v>7.0000000000000007E-2</v>
      </c>
      <c r="O665" s="1364">
        <v>3.5000000000000003E-2</v>
      </c>
      <c r="P665" s="1366">
        <v>2.8</v>
      </c>
      <c r="Q665" s="360"/>
    </row>
    <row r="666" spans="2:17" ht="13.5" customHeight="1" thickBot="1">
      <c r="B666" s="237"/>
      <c r="C666" s="1347" t="s">
        <v>943</v>
      </c>
      <c r="D666" s="1356" t="s">
        <v>280</v>
      </c>
      <c r="E666" s="1416">
        <f>(E664*100/E655)-70</f>
        <v>-16.228571428571428</v>
      </c>
      <c r="F666" s="1370">
        <f>(F664*100/F655)-70</f>
        <v>8.9357142857142833</v>
      </c>
      <c r="G666" s="1370">
        <f t="shared" ref="G666:P666" si="131">(G664*100/G655)-70</f>
        <v>-4.7312500000000028</v>
      </c>
      <c r="H666" s="1370">
        <f t="shared" si="131"/>
        <v>-6.7605555555555554</v>
      </c>
      <c r="I666" s="1370">
        <f t="shared" si="131"/>
        <v>8.168050000000008</v>
      </c>
      <c r="J666" s="1370">
        <f t="shared" si="131"/>
        <v>-0.64258333333333439</v>
      </c>
      <c r="K666" s="1370">
        <f t="shared" si="131"/>
        <v>-0.20633333333333326</v>
      </c>
      <c r="L666" s="1370">
        <f t="shared" si="131"/>
        <v>-6.0333333333333385</v>
      </c>
      <c r="M666" s="1370">
        <f t="shared" si="131"/>
        <v>-8.2382499999999936</v>
      </c>
      <c r="N666" s="1370">
        <f t="shared" si="131"/>
        <v>1.6999999999999886</v>
      </c>
      <c r="O666" s="1370">
        <f t="shared" si="131"/>
        <v>9.8000000000000114</v>
      </c>
      <c r="P666" s="1371">
        <f t="shared" si="131"/>
        <v>-1.0250000000000057</v>
      </c>
      <c r="Q666" s="360"/>
    </row>
    <row r="667" spans="2:17" ht="12" customHeight="1">
      <c r="P667"/>
      <c r="Q667" s="360"/>
    </row>
    <row r="668" spans="2:17">
      <c r="C668" s="1300"/>
      <c r="D668" s="5"/>
      <c r="E668" s="1374"/>
      <c r="F668" s="1374"/>
      <c r="G668" s="1374"/>
      <c r="H668" s="1374"/>
      <c r="I668" s="1374"/>
      <c r="J668" s="1374"/>
      <c r="K668" s="1374"/>
      <c r="L668" s="1374"/>
      <c r="M668" s="1374"/>
      <c r="N668" s="1462"/>
      <c r="O668" s="1462"/>
      <c r="P668" s="1462"/>
      <c r="Q668" s="360"/>
    </row>
    <row r="669" spans="2:17">
      <c r="C669" s="1300" t="s">
        <v>695</v>
      </c>
      <c r="D669"/>
      <c r="E669" s="32"/>
      <c r="K669" s="385"/>
      <c r="P669"/>
      <c r="Q669" s="360"/>
    </row>
    <row r="670" spans="2:17">
      <c r="C670" s="7" t="s">
        <v>754</v>
      </c>
      <c r="D670" s="8"/>
      <c r="E670" s="2"/>
      <c r="K670"/>
      <c r="P670"/>
      <c r="Q670" s="360"/>
    </row>
    <row r="671" spans="2:17" ht="12" customHeight="1">
      <c r="C671" s="1" t="s">
        <v>359</v>
      </c>
      <c r="D671"/>
      <c r="E671"/>
      <c r="F671"/>
      <c r="K671" s="63"/>
      <c r="P671"/>
      <c r="Q671" s="360"/>
    </row>
    <row r="672" spans="2:17" ht="11.25" customHeight="1">
      <c r="C672" s="19" t="s">
        <v>282</v>
      </c>
      <c r="E672"/>
      <c r="F672"/>
      <c r="G672" s="19"/>
      <c r="H672" s="19"/>
      <c r="K672" s="119"/>
      <c r="P672"/>
      <c r="Q672" s="360"/>
    </row>
    <row r="673" spans="2:26" ht="15.75">
      <c r="C673" s="1300" t="s">
        <v>694</v>
      </c>
      <c r="D673"/>
      <c r="J673" s="20" t="s">
        <v>0</v>
      </c>
      <c r="K673"/>
      <c r="L673" s="2" t="s">
        <v>317</v>
      </c>
      <c r="M673" s="13"/>
      <c r="N673" s="13"/>
      <c r="O673" s="24"/>
      <c r="P673"/>
      <c r="Q673" s="360"/>
    </row>
    <row r="674" spans="2:26" ht="21">
      <c r="B674" s="43" t="s">
        <v>698</v>
      </c>
      <c r="E674"/>
      <c r="F674"/>
      <c r="G674" s="23" t="s">
        <v>364</v>
      </c>
      <c r="H674" s="19"/>
      <c r="K674" s="32"/>
      <c r="P674"/>
      <c r="Q674" s="360"/>
    </row>
    <row r="675" spans="2:26" ht="12.75" customHeight="1" thickBot="1">
      <c r="C675" s="94" t="s">
        <v>790</v>
      </c>
      <c r="E675" s="1301"/>
      <c r="F675" s="1301"/>
      <c r="G675" s="1301"/>
      <c r="H675" s="1301"/>
      <c r="I675" s="1301"/>
      <c r="J675" s="1301"/>
      <c r="K675" s="1301"/>
      <c r="L675" s="1301"/>
      <c r="M675" s="1301"/>
      <c r="N675" s="1301"/>
      <c r="O675" s="1301"/>
      <c r="P675" s="1301"/>
      <c r="Q675" s="360"/>
    </row>
    <row r="676" spans="2:26" ht="14.25" customHeight="1" thickBot="1">
      <c r="B676" s="1304" t="s">
        <v>700</v>
      </c>
      <c r="C676" s="99"/>
      <c r="D676" s="1376" t="s">
        <v>251</v>
      </c>
      <c r="E676" s="1306" t="s">
        <v>701</v>
      </c>
      <c r="F676" s="1307"/>
      <c r="G676" s="1307"/>
      <c r="H676" s="1308"/>
      <c r="I676" s="1309" t="s">
        <v>730</v>
      </c>
      <c r="J676" s="31"/>
      <c r="K676" s="1310"/>
      <c r="L676" s="31"/>
      <c r="M676" s="31"/>
      <c r="N676" s="31"/>
      <c r="O676" s="31"/>
      <c r="P676" s="54"/>
      <c r="Q676" s="1304" t="s">
        <v>703</v>
      </c>
    </row>
    <row r="677" spans="2:26">
      <c r="B677" s="535" t="s">
        <v>704</v>
      </c>
      <c r="C677" s="530" t="s">
        <v>257</v>
      </c>
      <c r="D677" s="1377" t="s">
        <v>258</v>
      </c>
      <c r="E677" s="1312" t="s">
        <v>705</v>
      </c>
      <c r="F677" s="1313" t="s">
        <v>706</v>
      </c>
      <c r="G677" s="787" t="s">
        <v>707</v>
      </c>
      <c r="H677" s="1314" t="s">
        <v>708</v>
      </c>
      <c r="I677" s="1315" t="s">
        <v>709</v>
      </c>
      <c r="J677" s="1316" t="s">
        <v>710</v>
      </c>
      <c r="K677" s="1317" t="s">
        <v>711</v>
      </c>
      <c r="L677" s="1318" t="s">
        <v>712</v>
      </c>
      <c r="M677" s="1319" t="s">
        <v>713</v>
      </c>
      <c r="N677" s="835" t="s">
        <v>714</v>
      </c>
      <c r="O677" s="1319" t="s">
        <v>715</v>
      </c>
      <c r="P677" s="1320" t="s">
        <v>716</v>
      </c>
      <c r="Q677" s="1321" t="s">
        <v>717</v>
      </c>
    </row>
    <row r="678" spans="2:26" ht="14.25" customHeight="1" thickBot="1">
      <c r="B678" s="541" t="s">
        <v>718</v>
      </c>
      <c r="C678" s="579"/>
      <c r="D678" s="537"/>
      <c r="E678" s="56"/>
      <c r="F678" s="1378"/>
      <c r="H678" s="1378"/>
      <c r="I678" s="1379" t="s">
        <v>719</v>
      </c>
      <c r="J678" s="119" t="s">
        <v>720</v>
      </c>
      <c r="K678" s="1380" t="s">
        <v>721</v>
      </c>
      <c r="L678" s="1381" t="s">
        <v>722</v>
      </c>
      <c r="M678" s="1380" t="s">
        <v>723</v>
      </c>
      <c r="N678" s="46" t="s">
        <v>724</v>
      </c>
      <c r="O678" s="1382" t="s">
        <v>725</v>
      </c>
      <c r="P678" s="1383" t="s">
        <v>726</v>
      </c>
      <c r="Q678" s="1330" t="s">
        <v>490</v>
      </c>
    </row>
    <row r="679" spans="2:26">
      <c r="B679" s="99"/>
      <c r="C679" s="774" t="s">
        <v>199</v>
      </c>
      <c r="D679" s="543"/>
      <c r="E679" s="1331"/>
      <c r="F679" s="545"/>
      <c r="G679" s="545"/>
      <c r="H679" s="1412"/>
      <c r="I679" s="1333"/>
      <c r="J679" s="1333"/>
      <c r="K679" s="1459"/>
      <c r="L679" s="1333"/>
      <c r="M679" s="1333"/>
      <c r="N679" s="1333"/>
      <c r="O679" s="1333"/>
      <c r="P679" s="1335"/>
      <c r="Q679" s="1413"/>
    </row>
    <row r="680" spans="2:26" ht="12.75" customHeight="1">
      <c r="B680" s="1350" t="s">
        <v>687</v>
      </c>
      <c r="C680" s="560" t="s">
        <v>363</v>
      </c>
      <c r="D680" s="561">
        <v>60</v>
      </c>
      <c r="E680" s="1359">
        <v>6</v>
      </c>
      <c r="F680" s="1359">
        <v>0.02</v>
      </c>
      <c r="G680" s="2393">
        <v>0.02</v>
      </c>
      <c r="H680" s="1359">
        <v>6</v>
      </c>
      <c r="I680" s="2396">
        <v>13.8</v>
      </c>
      <c r="J680" s="2397">
        <v>25</v>
      </c>
      <c r="K680" s="2397">
        <v>8.4</v>
      </c>
      <c r="L680" s="2397">
        <v>0.36</v>
      </c>
      <c r="M680" s="2397">
        <v>56.7</v>
      </c>
      <c r="N680" s="2397">
        <v>1.8E-3</v>
      </c>
      <c r="O680" s="2397">
        <v>2.0000000000000001E-4</v>
      </c>
      <c r="P680" s="2397">
        <v>1.0200000000000001E-2</v>
      </c>
      <c r="Q680" s="557">
        <v>1</v>
      </c>
      <c r="V680" s="44"/>
      <c r="W680" s="44"/>
      <c r="X680" s="789"/>
    </row>
    <row r="681" spans="2:26" ht="10.5" customHeight="1">
      <c r="B681" s="1272" t="s">
        <v>186</v>
      </c>
      <c r="C681" s="556" t="s">
        <v>187</v>
      </c>
      <c r="D681" s="561">
        <v>210</v>
      </c>
      <c r="E681" s="2392">
        <v>1.708</v>
      </c>
      <c r="F681" s="380">
        <v>0.247</v>
      </c>
      <c r="G681" s="380">
        <v>0.40739999999999998</v>
      </c>
      <c r="H681" s="1298">
        <v>177.60599999999999</v>
      </c>
      <c r="I681" s="1359">
        <v>37.6</v>
      </c>
      <c r="J681" s="1359">
        <v>26.76</v>
      </c>
      <c r="K681" s="1359">
        <v>8.4600000000000009</v>
      </c>
      <c r="L681" s="1359">
        <v>2.9049999999999998</v>
      </c>
      <c r="M681" s="1359">
        <v>10.095000000000001</v>
      </c>
      <c r="N681" s="1359">
        <v>2.3E-2</v>
      </c>
      <c r="O681" s="1359">
        <v>1.0800000000000001E-2</v>
      </c>
      <c r="P681" s="2393">
        <v>0.16</v>
      </c>
      <c r="Q681" s="580">
        <v>59</v>
      </c>
      <c r="V681" s="152"/>
      <c r="W681" s="222"/>
      <c r="X681" s="789"/>
    </row>
    <row r="682" spans="2:26">
      <c r="B682" s="1272" t="s">
        <v>653</v>
      </c>
      <c r="C682" s="595" t="s">
        <v>593</v>
      </c>
      <c r="D682" s="429">
        <v>200</v>
      </c>
      <c r="E682" s="2392">
        <v>1.1599999999999999</v>
      </c>
      <c r="F682" s="380">
        <v>0</v>
      </c>
      <c r="G682" s="380">
        <v>0.01</v>
      </c>
      <c r="H682" s="1384">
        <v>0.38</v>
      </c>
      <c r="I682" s="1359">
        <v>7</v>
      </c>
      <c r="J682" s="1359">
        <v>8.5</v>
      </c>
      <c r="K682" s="1359">
        <v>4.5</v>
      </c>
      <c r="L682" s="1359">
        <v>0.77</v>
      </c>
      <c r="M682" s="1359">
        <v>46.72</v>
      </c>
      <c r="N682" s="1359">
        <v>0</v>
      </c>
      <c r="O682" s="1359">
        <v>0</v>
      </c>
      <c r="P682" s="2393">
        <v>0.22</v>
      </c>
      <c r="Q682" s="557">
        <v>92</v>
      </c>
      <c r="V682" s="44"/>
      <c r="W682" s="44"/>
      <c r="X682" s="789"/>
    </row>
    <row r="683" spans="2:26">
      <c r="B683" s="1272" t="s">
        <v>10</v>
      </c>
      <c r="C683" s="556" t="s">
        <v>11</v>
      </c>
      <c r="D683" s="561">
        <v>70</v>
      </c>
      <c r="E683" s="2392">
        <v>0.14000000000000001</v>
      </c>
      <c r="F683" s="380">
        <v>2.5000000000000001E-2</v>
      </c>
      <c r="G683" s="380">
        <v>2.3E-2</v>
      </c>
      <c r="H683" s="1298">
        <v>0</v>
      </c>
      <c r="I683" s="2498">
        <v>110.01300000000001</v>
      </c>
      <c r="J683" s="1359">
        <v>90.3</v>
      </c>
      <c r="K683" s="1359">
        <v>28.7</v>
      </c>
      <c r="L683" s="2393">
        <v>7.0000000000000007E-2</v>
      </c>
      <c r="M683" s="2469">
        <v>52.03</v>
      </c>
      <c r="N683" s="1359">
        <v>0</v>
      </c>
      <c r="O683" s="1359">
        <v>0</v>
      </c>
      <c r="P683" s="1359">
        <v>0</v>
      </c>
      <c r="Q683" s="557">
        <v>11</v>
      </c>
      <c r="V683" s="44"/>
      <c r="W683" s="44"/>
      <c r="X683" s="789"/>
    </row>
    <row r="684" spans="2:26" ht="12.75" customHeight="1" thickBot="1">
      <c r="B684" s="1352" t="s">
        <v>10</v>
      </c>
      <c r="C684" s="563" t="s">
        <v>792</v>
      </c>
      <c r="D684" s="574">
        <v>40</v>
      </c>
      <c r="E684" s="2402">
        <v>0</v>
      </c>
      <c r="F684" s="381">
        <v>0.08</v>
      </c>
      <c r="G684" s="381">
        <v>0</v>
      </c>
      <c r="H684" s="1298">
        <v>0</v>
      </c>
      <c r="I684" s="242">
        <v>33.200000000000003</v>
      </c>
      <c r="J684" s="242">
        <v>60.54</v>
      </c>
      <c r="K684" s="242">
        <v>19.68</v>
      </c>
      <c r="L684" s="242">
        <v>0.04</v>
      </c>
      <c r="M684" s="1359">
        <v>57.6</v>
      </c>
      <c r="N684" s="1359">
        <v>1E-3</v>
      </c>
      <c r="O684" s="1359">
        <v>0</v>
      </c>
      <c r="P684" s="2412">
        <v>0</v>
      </c>
      <c r="Q684" s="572">
        <v>12</v>
      </c>
      <c r="V684" s="44"/>
      <c r="W684" s="44"/>
      <c r="X684" s="789"/>
    </row>
    <row r="685" spans="2:26" ht="14.25" customHeight="1">
      <c r="B685" s="565" t="s">
        <v>283</v>
      </c>
      <c r="C685" s="168"/>
      <c r="D685" s="2302">
        <f>SUM(D680:D684)</f>
        <v>580</v>
      </c>
      <c r="E685" s="145">
        <f>SUM(E680:E684)</f>
        <v>9.0080000000000009</v>
      </c>
      <c r="F685" s="243">
        <f>SUM(F680:F684)</f>
        <v>0.37200000000000005</v>
      </c>
      <c r="G685" s="243">
        <f t="shared" ref="G685:P685" si="132">SUM(G680:G684)</f>
        <v>0.46040000000000003</v>
      </c>
      <c r="H685" s="243">
        <f t="shared" si="132"/>
        <v>183.98599999999999</v>
      </c>
      <c r="I685" s="243">
        <f t="shared" si="132"/>
        <v>201.613</v>
      </c>
      <c r="J685" s="243">
        <f t="shared" si="132"/>
        <v>211.1</v>
      </c>
      <c r="K685" s="243">
        <f>SUM(K680:K684)</f>
        <v>69.740000000000009</v>
      </c>
      <c r="L685" s="243">
        <f t="shared" si="132"/>
        <v>4.1450000000000005</v>
      </c>
      <c r="M685" s="243">
        <f t="shared" si="132"/>
        <v>223.14500000000001</v>
      </c>
      <c r="N685" s="243">
        <f t="shared" si="132"/>
        <v>2.58E-2</v>
      </c>
      <c r="O685" s="243">
        <f t="shared" si="132"/>
        <v>1.1000000000000001E-2</v>
      </c>
      <c r="P685" s="1386">
        <f t="shared" si="132"/>
        <v>0.39019999999999999</v>
      </c>
      <c r="Q685" s="1358"/>
      <c r="V685" s="792"/>
      <c r="W685" s="793"/>
      <c r="X685" s="2310"/>
      <c r="Y685" s="210"/>
      <c r="Z685" s="22"/>
    </row>
    <row r="686" spans="2:26">
      <c r="B686" s="1343"/>
      <c r="C686" s="2298" t="s">
        <v>12</v>
      </c>
      <c r="D686" s="2291">
        <v>0.25</v>
      </c>
      <c r="E686" s="1398">
        <v>17.5</v>
      </c>
      <c r="F686" s="2413">
        <v>0.35</v>
      </c>
      <c r="G686" s="1399">
        <v>0.4</v>
      </c>
      <c r="H686" s="1345">
        <v>225</v>
      </c>
      <c r="I686" s="2413">
        <v>300</v>
      </c>
      <c r="J686" s="1399">
        <v>300</v>
      </c>
      <c r="K686" s="1345">
        <v>75</v>
      </c>
      <c r="L686" s="2413">
        <v>4.5</v>
      </c>
      <c r="M686" s="1346">
        <v>300</v>
      </c>
      <c r="N686" s="2413">
        <v>2.5000000000000001E-2</v>
      </c>
      <c r="O686" s="1399">
        <v>1.2500000000000001E-2</v>
      </c>
      <c r="P686" s="1460">
        <v>1</v>
      </c>
      <c r="Q686" s="1358"/>
      <c r="V686" s="1289"/>
      <c r="W686" s="1289"/>
      <c r="X686" s="1289"/>
      <c r="Y686" s="1029"/>
      <c r="Z686" s="1"/>
    </row>
    <row r="687" spans="2:26" ht="15.75" thickBot="1">
      <c r="B687" s="237"/>
      <c r="C687" s="1347" t="s">
        <v>943</v>
      </c>
      <c r="D687" s="1348" t="s">
        <v>280</v>
      </c>
      <c r="E687" s="1416">
        <f>(E685*100/E708)-25</f>
        <v>-12.13142857142857</v>
      </c>
      <c r="F687" s="1370">
        <f t="shared" ref="F687:O687" si="133">(F685*100/F708)-25</f>
        <v>1.5714285714285765</v>
      </c>
      <c r="G687" s="1370">
        <f t="shared" si="133"/>
        <v>3.7750000000000021</v>
      </c>
      <c r="H687" s="1370">
        <f t="shared" si="133"/>
        <v>-4.5571111111111122</v>
      </c>
      <c r="I687" s="1370">
        <f t="shared" si="133"/>
        <v>-8.1989166666666655</v>
      </c>
      <c r="J687" s="1370">
        <f t="shared" si="133"/>
        <v>-7.408333333333335</v>
      </c>
      <c r="K687" s="1370">
        <f t="shared" si="133"/>
        <v>-1.7533333333333303</v>
      </c>
      <c r="L687" s="1370">
        <f t="shared" si="133"/>
        <v>-1.9722222222222179</v>
      </c>
      <c r="M687" s="1370">
        <f t="shared" si="133"/>
        <v>-6.4045833333333348</v>
      </c>
      <c r="N687" s="1370">
        <f t="shared" si="133"/>
        <v>0.80000000000000071</v>
      </c>
      <c r="O687" s="1370">
        <f t="shared" si="133"/>
        <v>-3</v>
      </c>
      <c r="P687" s="1371">
        <f>(P685*100/P708)-25</f>
        <v>-15.245000000000001</v>
      </c>
      <c r="Q687" s="1358"/>
      <c r="V687" s="1"/>
      <c r="W687" s="1"/>
      <c r="X687" s="1"/>
      <c r="Y687" s="1"/>
      <c r="Z687" s="40"/>
    </row>
    <row r="688" spans="2:26">
      <c r="B688" s="99"/>
      <c r="C688" s="600" t="s">
        <v>152</v>
      </c>
      <c r="D688" s="88"/>
      <c r="E688" s="2474"/>
      <c r="F688" s="2419"/>
      <c r="G688" s="2419"/>
      <c r="H688" s="2419"/>
      <c r="I688" s="2419"/>
      <c r="J688" s="2419"/>
      <c r="K688" s="2419"/>
      <c r="L688" s="2419"/>
      <c r="M688" s="2419"/>
      <c r="N688" s="2419"/>
      <c r="O688" s="2419"/>
      <c r="P688" s="2420"/>
      <c r="Q688" s="1358"/>
      <c r="V688" s="44"/>
      <c r="W688" s="44"/>
      <c r="X688" s="789"/>
    </row>
    <row r="689" spans="2:26">
      <c r="B689" s="1350" t="s">
        <v>645</v>
      </c>
      <c r="C689" s="560" t="s">
        <v>375</v>
      </c>
      <c r="D689" s="561">
        <v>60</v>
      </c>
      <c r="E689" s="2392">
        <v>15</v>
      </c>
      <c r="F689" s="380">
        <v>0.04</v>
      </c>
      <c r="G689" s="380">
        <v>0.02</v>
      </c>
      <c r="H689" s="1384">
        <v>79.8</v>
      </c>
      <c r="I689" s="2394">
        <v>8.4</v>
      </c>
      <c r="J689" s="2394">
        <v>16</v>
      </c>
      <c r="K689" s="2394">
        <v>12</v>
      </c>
      <c r="L689" s="2394">
        <v>0.54</v>
      </c>
      <c r="M689" s="1359">
        <v>74</v>
      </c>
      <c r="N689" s="2416">
        <v>0.02</v>
      </c>
      <c r="O689" s="1359">
        <v>2.3999999999999998E-3</v>
      </c>
      <c r="P689" s="1359">
        <v>0.12</v>
      </c>
      <c r="Q689" s="557">
        <v>2</v>
      </c>
      <c r="V689" s="44"/>
      <c r="W689" s="222"/>
      <c r="X689" s="789"/>
    </row>
    <row r="690" spans="2:26" ht="12" customHeight="1">
      <c r="B690" s="1351" t="s">
        <v>838</v>
      </c>
      <c r="C690" s="595" t="s">
        <v>499</v>
      </c>
      <c r="D690" s="551">
        <v>250</v>
      </c>
      <c r="E690" s="2392">
        <v>8.09</v>
      </c>
      <c r="F690" s="380">
        <v>1.0999999999999999E-2</v>
      </c>
      <c r="G690" s="380">
        <v>7.8E-2</v>
      </c>
      <c r="H690" s="1298">
        <v>125</v>
      </c>
      <c r="I690" s="1359">
        <v>52.354999999999997</v>
      </c>
      <c r="J690" s="1359">
        <v>53.06</v>
      </c>
      <c r="K690" s="1359">
        <v>4.25</v>
      </c>
      <c r="L690" s="1359">
        <v>0.4</v>
      </c>
      <c r="M690" s="1359">
        <v>35</v>
      </c>
      <c r="N690" s="1359">
        <v>0</v>
      </c>
      <c r="O690" s="1359">
        <v>0</v>
      </c>
      <c r="P690" s="2393">
        <v>0.248</v>
      </c>
      <c r="Q690" s="589">
        <v>16</v>
      </c>
      <c r="V690" s="153"/>
      <c r="W690" s="153"/>
      <c r="X690" s="789"/>
    </row>
    <row r="691" spans="2:26">
      <c r="B691" s="1351" t="s">
        <v>210</v>
      </c>
      <c r="C691" s="595" t="s">
        <v>693</v>
      </c>
      <c r="D691" s="1042" t="s">
        <v>384</v>
      </c>
      <c r="E691" s="2411">
        <v>4.04</v>
      </c>
      <c r="F691" s="1359">
        <v>0.24299999999999999</v>
      </c>
      <c r="G691" s="1359">
        <v>5.3999999999999999E-2</v>
      </c>
      <c r="H691" s="1298">
        <v>35.5</v>
      </c>
      <c r="I691" s="1359">
        <v>32.58</v>
      </c>
      <c r="J691" s="1359">
        <v>20.14</v>
      </c>
      <c r="K691" s="380">
        <v>12.488</v>
      </c>
      <c r="L691" s="1359">
        <v>2.4529999999999998</v>
      </c>
      <c r="M691" s="1359">
        <v>66.022000000000006</v>
      </c>
      <c r="N691" s="1359">
        <v>2E-3</v>
      </c>
      <c r="O691" s="1359">
        <v>5.1000000000000004E-3</v>
      </c>
      <c r="P691" s="2393">
        <v>0.41599999999999998</v>
      </c>
      <c r="Q691" s="572">
        <v>70</v>
      </c>
      <c r="V691" s="383"/>
      <c r="W691" s="383"/>
      <c r="X691" s="789"/>
    </row>
    <row r="692" spans="2:26">
      <c r="B692" s="1351" t="s">
        <v>333</v>
      </c>
      <c r="C692" s="1041" t="s">
        <v>528</v>
      </c>
      <c r="D692" s="592">
        <v>180</v>
      </c>
      <c r="E692" s="1359">
        <v>0</v>
      </c>
      <c r="F692" s="384">
        <v>1E-3</v>
      </c>
      <c r="G692" s="384">
        <v>9.1999999999999998E-2</v>
      </c>
      <c r="H692" s="1298">
        <v>40.159999999999997</v>
      </c>
      <c r="I692" s="1359">
        <v>11.802</v>
      </c>
      <c r="J692" s="1359">
        <v>15</v>
      </c>
      <c r="K692" s="1359">
        <v>3.25</v>
      </c>
      <c r="L692" s="1359">
        <v>0.158</v>
      </c>
      <c r="M692" s="1359">
        <v>27.167999999999999</v>
      </c>
      <c r="N692" s="1359">
        <v>3.0000000000000001E-3</v>
      </c>
      <c r="O692" s="1359">
        <v>6.0000000000000001E-3</v>
      </c>
      <c r="P692" s="1359">
        <v>0.20399999999999999</v>
      </c>
      <c r="Q692" s="557">
        <v>30</v>
      </c>
      <c r="V692" s="44"/>
      <c r="W692" s="44"/>
      <c r="X692" s="789"/>
    </row>
    <row r="693" spans="2:26" ht="12.75" customHeight="1">
      <c r="B693" s="1530" t="s">
        <v>821</v>
      </c>
      <c r="C693" s="556" t="s">
        <v>339</v>
      </c>
      <c r="D693" s="561">
        <v>200</v>
      </c>
      <c r="E693" s="2392">
        <v>1.1419999999999999</v>
      </c>
      <c r="F693" s="380">
        <v>6.59E-2</v>
      </c>
      <c r="G693" s="380">
        <v>0.27100000000000002</v>
      </c>
      <c r="H693" s="1384">
        <v>29.056000000000001</v>
      </c>
      <c r="I693" s="1359">
        <v>237.708</v>
      </c>
      <c r="J693" s="1359">
        <v>194.72</v>
      </c>
      <c r="K693" s="1359">
        <v>41.465000000000003</v>
      </c>
      <c r="L693" s="1359">
        <v>0.33600000000000002</v>
      </c>
      <c r="M693" s="1359">
        <v>121.70699999999999</v>
      </c>
      <c r="N693" s="1359">
        <v>2E-3</v>
      </c>
      <c r="O693" s="1359">
        <v>3.0000000000000001E-3</v>
      </c>
      <c r="P693" s="2393">
        <v>0.16900000000000001</v>
      </c>
      <c r="Q693" s="572">
        <v>87</v>
      </c>
      <c r="V693" s="44"/>
      <c r="W693" s="44"/>
      <c r="X693" s="789"/>
    </row>
    <row r="694" spans="2:26" ht="12.75" customHeight="1">
      <c r="B694" s="1272" t="s">
        <v>10</v>
      </c>
      <c r="C694" s="556" t="s">
        <v>11</v>
      </c>
      <c r="D694" s="561">
        <v>70</v>
      </c>
      <c r="E694" s="2392">
        <v>0.14000000000000001</v>
      </c>
      <c r="F694" s="380">
        <v>2.5000000000000001E-2</v>
      </c>
      <c r="G694" s="380">
        <v>2.3E-2</v>
      </c>
      <c r="H694" s="1298">
        <v>0</v>
      </c>
      <c r="I694" s="2498">
        <v>110.01300000000001</v>
      </c>
      <c r="J694" s="1359">
        <v>90.3</v>
      </c>
      <c r="K694" s="1359">
        <v>28.7</v>
      </c>
      <c r="L694" s="2393">
        <v>7.0000000000000007E-2</v>
      </c>
      <c r="M694" s="2469">
        <v>52.03</v>
      </c>
      <c r="N694" s="1359">
        <v>0</v>
      </c>
      <c r="O694" s="1359">
        <v>0</v>
      </c>
      <c r="P694" s="1359">
        <v>0</v>
      </c>
      <c r="Q694" s="557">
        <v>11</v>
      </c>
      <c r="V694" s="44"/>
      <c r="W694" s="44"/>
      <c r="X694" s="789"/>
    </row>
    <row r="695" spans="2:26">
      <c r="B695" s="1272" t="s">
        <v>10</v>
      </c>
      <c r="C695" s="556" t="s">
        <v>792</v>
      </c>
      <c r="D695" s="551">
        <v>40</v>
      </c>
      <c r="E695" s="2402">
        <v>0</v>
      </c>
      <c r="F695" s="381">
        <v>0.08</v>
      </c>
      <c r="G695" s="381">
        <v>0</v>
      </c>
      <c r="H695" s="1298">
        <v>0</v>
      </c>
      <c r="I695" s="242">
        <v>33.200000000000003</v>
      </c>
      <c r="J695" s="242">
        <v>60.54</v>
      </c>
      <c r="K695" s="242">
        <v>19.68</v>
      </c>
      <c r="L695" s="242">
        <v>0.04</v>
      </c>
      <c r="M695" s="1359">
        <v>57.6</v>
      </c>
      <c r="N695" s="1359">
        <v>1E-3</v>
      </c>
      <c r="O695" s="1359">
        <v>0</v>
      </c>
      <c r="P695" s="2412">
        <v>0</v>
      </c>
      <c r="Q695" s="557">
        <v>12</v>
      </c>
      <c r="V695" s="152"/>
      <c r="W695" s="44"/>
      <c r="X695" s="789"/>
    </row>
    <row r="696" spans="2:26" ht="14.25" customHeight="1" thickBot="1">
      <c r="B696" s="2560" t="s">
        <v>1004</v>
      </c>
      <c r="C696" s="563" t="s">
        <v>1003</v>
      </c>
      <c r="D696" s="574">
        <v>110</v>
      </c>
      <c r="E696" s="1416">
        <v>11</v>
      </c>
      <c r="F696" s="1370">
        <v>2.4199999999999999E-2</v>
      </c>
      <c r="G696" s="1370">
        <v>2.1999999999999999E-2</v>
      </c>
      <c r="H696" s="2457">
        <v>5.5</v>
      </c>
      <c r="I696" s="1370">
        <v>17.600000000000001</v>
      </c>
      <c r="J696" s="1359">
        <v>12.1</v>
      </c>
      <c r="K696" s="1359">
        <v>9.9</v>
      </c>
      <c r="L696" s="2393">
        <v>2.13</v>
      </c>
      <c r="M696" s="1359">
        <v>58.19</v>
      </c>
      <c r="N696" s="1359">
        <v>0.01</v>
      </c>
      <c r="O696" s="1359">
        <v>0</v>
      </c>
      <c r="P696" s="2412">
        <v>0.29699999999999999</v>
      </c>
      <c r="Q696" s="627">
        <v>73</v>
      </c>
      <c r="V696" s="792"/>
      <c r="W696" s="793"/>
      <c r="X696" s="2310"/>
      <c r="Y696" s="210"/>
      <c r="Z696" s="22"/>
    </row>
    <row r="697" spans="2:26">
      <c r="B697" s="1404" t="s">
        <v>269</v>
      </c>
      <c r="C697" s="2299"/>
      <c r="D697" s="2316">
        <f>D689+D690+D692+D693+D694+D695+D696+90+20</f>
        <v>1020</v>
      </c>
      <c r="E697" s="145">
        <f>SUM(E689:E696)</f>
        <v>39.411999999999999</v>
      </c>
      <c r="F697" s="243">
        <f>SUM(F689:F696)</f>
        <v>0.49010000000000004</v>
      </c>
      <c r="G697" s="243">
        <f t="shared" ref="G697:P697" si="134">SUM(G689:G696)</f>
        <v>0.56000000000000005</v>
      </c>
      <c r="H697" s="243">
        <f t="shared" si="134"/>
        <v>315.01600000000002</v>
      </c>
      <c r="I697" s="243">
        <f t="shared" si="134"/>
        <v>503.65800000000007</v>
      </c>
      <c r="J697" s="243">
        <f t="shared" si="134"/>
        <v>461.86000000000007</v>
      </c>
      <c r="K697" s="243">
        <f>SUM(K689:K696)</f>
        <v>131.733</v>
      </c>
      <c r="L697" s="243">
        <f t="shared" si="134"/>
        <v>6.1269999999999989</v>
      </c>
      <c r="M697" s="243">
        <f t="shared" si="134"/>
        <v>491.71700000000004</v>
      </c>
      <c r="N697" s="243">
        <f t="shared" si="134"/>
        <v>3.7999999999999999E-2</v>
      </c>
      <c r="O697" s="243">
        <f t="shared" si="134"/>
        <v>1.6500000000000001E-2</v>
      </c>
      <c r="P697" s="1386">
        <f t="shared" si="134"/>
        <v>1.454</v>
      </c>
      <c r="Q697" s="1413"/>
      <c r="V697" s="1289"/>
      <c r="W697" s="1289"/>
      <c r="X697" s="1289"/>
      <c r="Y697" s="1029"/>
      <c r="Z697" s="1"/>
    </row>
    <row r="698" spans="2:26" ht="13.5" customHeight="1" thickBot="1">
      <c r="B698" s="1343"/>
      <c r="C698" s="2298" t="s">
        <v>12</v>
      </c>
      <c r="D698" s="2291">
        <v>0.35</v>
      </c>
      <c r="E698" s="1422">
        <v>24.5</v>
      </c>
      <c r="F698" s="1423">
        <v>0.49</v>
      </c>
      <c r="G698" s="1424">
        <v>0.56000000000000005</v>
      </c>
      <c r="H698" s="1461">
        <v>315</v>
      </c>
      <c r="I698" s="1423">
        <v>420</v>
      </c>
      <c r="J698" s="1424">
        <v>420</v>
      </c>
      <c r="K698" s="1461">
        <v>105</v>
      </c>
      <c r="L698" s="1423">
        <v>6.3</v>
      </c>
      <c r="M698" s="2445">
        <v>420</v>
      </c>
      <c r="N698" s="1423">
        <v>3.5000000000000003E-2</v>
      </c>
      <c r="O698" s="1424">
        <v>1.7500000000000002E-2</v>
      </c>
      <c r="P698" s="1425">
        <v>1.4</v>
      </c>
      <c r="Q698" s="1358"/>
      <c r="V698" s="1"/>
      <c r="W698" s="1"/>
      <c r="X698" s="1"/>
      <c r="Y698" s="1"/>
      <c r="Z698" s="1"/>
    </row>
    <row r="699" spans="2:26" ht="15.75" thickBot="1">
      <c r="B699" s="237"/>
      <c r="C699" s="1347" t="s">
        <v>943</v>
      </c>
      <c r="D699" s="1348" t="s">
        <v>280</v>
      </c>
      <c r="E699" s="1416">
        <f>(E697*100/E708)-35</f>
        <v>21.302857142857142</v>
      </c>
      <c r="F699" s="1370">
        <f t="shared" ref="F699:O699" si="135">(F697*100/F708)-35</f>
        <v>7.142857142859782E-3</v>
      </c>
      <c r="G699" s="1370">
        <f t="shared" si="135"/>
        <v>0</v>
      </c>
      <c r="H699" s="1370">
        <f t="shared" si="135"/>
        <v>1.7777777777823189E-3</v>
      </c>
      <c r="I699" s="1370">
        <f t="shared" si="135"/>
        <v>6.971500000000006</v>
      </c>
      <c r="J699" s="1370">
        <f t="shared" si="135"/>
        <v>3.4883333333333368</v>
      </c>
      <c r="K699" s="1370">
        <f t="shared" si="135"/>
        <v>8.9110000000000014</v>
      </c>
      <c r="L699" s="1370">
        <f t="shared" si="135"/>
        <v>-0.96111111111111569</v>
      </c>
      <c r="M699" s="1370">
        <f t="shared" si="135"/>
        <v>5.9764166666666725</v>
      </c>
      <c r="N699" s="1370">
        <f t="shared" si="135"/>
        <v>2.9999999999999929</v>
      </c>
      <c r="O699" s="1370">
        <f t="shared" si="135"/>
        <v>-2</v>
      </c>
      <c r="P699" s="1371">
        <f>(P697*100/P708)-35</f>
        <v>1.3500000000000014</v>
      </c>
      <c r="Q699" s="1358"/>
      <c r="V699" s="44"/>
      <c r="W699" s="44"/>
      <c r="X699" s="789"/>
    </row>
    <row r="700" spans="2:26">
      <c r="B700" s="600"/>
      <c r="C700" s="832" t="s">
        <v>324</v>
      </c>
      <c r="D700" s="99"/>
      <c r="E700" s="2474"/>
      <c r="F700" s="2419"/>
      <c r="G700" s="2419"/>
      <c r="H700" s="2419"/>
      <c r="I700" s="2419"/>
      <c r="J700" s="2419"/>
      <c r="K700" s="2419"/>
      <c r="L700" s="2419"/>
      <c r="M700" s="2419"/>
      <c r="N700" s="2419"/>
      <c r="O700" s="2419"/>
      <c r="P700" s="2420"/>
      <c r="Q700" s="1358"/>
      <c r="V700" s="44"/>
      <c r="W700" s="222"/>
      <c r="X700" s="789"/>
    </row>
    <row r="701" spans="2:26" ht="14.25" customHeight="1">
      <c r="B701" s="1473" t="s">
        <v>799</v>
      </c>
      <c r="C701" s="560" t="s">
        <v>491</v>
      </c>
      <c r="D701" s="561">
        <v>200</v>
      </c>
      <c r="E701" s="2402">
        <v>3.0539999999999998</v>
      </c>
      <c r="F701" s="381">
        <v>6.0000000000000001E-3</v>
      </c>
      <c r="G701" s="381">
        <v>7.0000000000000001E-3</v>
      </c>
      <c r="H701" s="1465">
        <v>0.94499999999999995</v>
      </c>
      <c r="I701" s="1294">
        <v>4.6940799999999996</v>
      </c>
      <c r="J701" s="1294">
        <v>3.637</v>
      </c>
      <c r="K701" s="1294">
        <v>2.7669999999999999</v>
      </c>
      <c r="L701" s="1294">
        <v>0.65500000000000003</v>
      </c>
      <c r="M701" s="1294">
        <v>89.07</v>
      </c>
      <c r="N701" s="1294">
        <v>0</v>
      </c>
      <c r="O701" s="1294">
        <v>7.0000000000000001E-3</v>
      </c>
      <c r="P701" s="2417">
        <v>0.02</v>
      </c>
      <c r="Q701" s="557">
        <v>93</v>
      </c>
      <c r="V701" s="44"/>
      <c r="W701" s="44"/>
      <c r="X701" s="789"/>
    </row>
    <row r="702" spans="2:26" ht="12" customHeight="1">
      <c r="B702" s="2317" t="s">
        <v>999</v>
      </c>
      <c r="C702" s="390" t="s">
        <v>369</v>
      </c>
      <c r="D702" s="636" t="s">
        <v>1027</v>
      </c>
      <c r="E702" s="2392">
        <v>1.04</v>
      </c>
      <c r="F702" s="380">
        <v>0.126</v>
      </c>
      <c r="G702" s="380">
        <v>3.1699999999999999E-2</v>
      </c>
      <c r="H702" s="1298">
        <v>78.817999999999998</v>
      </c>
      <c r="I702" s="1359">
        <v>25.66</v>
      </c>
      <c r="J702" s="1359">
        <v>20.763000000000002</v>
      </c>
      <c r="K702" s="1359">
        <v>9.0329999999999995</v>
      </c>
      <c r="L702" s="1359">
        <v>0.20399999999999999</v>
      </c>
      <c r="M702" s="1359">
        <v>72.430999999999997</v>
      </c>
      <c r="N702" s="1359">
        <v>4.0000000000000001E-3</v>
      </c>
      <c r="O702" s="1359">
        <v>0</v>
      </c>
      <c r="P702" s="2393">
        <v>0</v>
      </c>
      <c r="Q702" s="1039">
        <v>40</v>
      </c>
      <c r="V702" s="792"/>
      <c r="W702" s="793"/>
      <c r="X702" s="2310"/>
      <c r="Y702" s="210"/>
      <c r="Z702" s="22"/>
    </row>
    <row r="703" spans="2:26" ht="13.5" customHeight="1" thickBot="1">
      <c r="B703" s="558" t="s">
        <v>10</v>
      </c>
      <c r="C703" s="573" t="s">
        <v>792</v>
      </c>
      <c r="D703" s="574">
        <v>20</v>
      </c>
      <c r="E703" s="2402">
        <v>0</v>
      </c>
      <c r="F703" s="381">
        <v>0.04</v>
      </c>
      <c r="G703" s="381">
        <v>0</v>
      </c>
      <c r="H703" s="1465">
        <v>0</v>
      </c>
      <c r="I703" s="242">
        <v>16.600000000000001</v>
      </c>
      <c r="J703" s="242">
        <v>38.799999999999997</v>
      </c>
      <c r="K703" s="242">
        <v>11.4</v>
      </c>
      <c r="L703" s="242">
        <v>0.02</v>
      </c>
      <c r="M703" s="242">
        <v>28.8</v>
      </c>
      <c r="N703" s="242">
        <v>5.0000000000000001E-4</v>
      </c>
      <c r="O703" s="242">
        <v>0</v>
      </c>
      <c r="P703" s="1337">
        <v>0</v>
      </c>
      <c r="Q703" s="1281">
        <v>12</v>
      </c>
    </row>
    <row r="704" spans="2:26">
      <c r="B704" s="1404" t="s">
        <v>357</v>
      </c>
      <c r="C704" s="2299"/>
      <c r="D704" s="2302">
        <f>D701+135+45+D703</f>
        <v>400</v>
      </c>
      <c r="E704" s="145">
        <f>SUM(E701:E703)</f>
        <v>4.0939999999999994</v>
      </c>
      <c r="F704" s="243">
        <f>SUM(F701:F703)</f>
        <v>0.17200000000000001</v>
      </c>
      <c r="G704" s="243">
        <f t="shared" ref="G704:P704" si="136">SUM(G701:G703)</f>
        <v>3.8699999999999998E-2</v>
      </c>
      <c r="H704" s="243">
        <f t="shared" si="136"/>
        <v>79.762999999999991</v>
      </c>
      <c r="I704" s="243">
        <f t="shared" si="136"/>
        <v>46.954080000000005</v>
      </c>
      <c r="J704" s="243">
        <f t="shared" si="136"/>
        <v>63.2</v>
      </c>
      <c r="K704" s="243">
        <f t="shared" si="136"/>
        <v>23.2</v>
      </c>
      <c r="L704" s="243">
        <f t="shared" si="136"/>
        <v>0.879</v>
      </c>
      <c r="M704" s="243">
        <f>SUM(M701:M703)</f>
        <v>190.30099999999999</v>
      </c>
      <c r="N704" s="243">
        <f t="shared" si="136"/>
        <v>4.5000000000000005E-3</v>
      </c>
      <c r="O704" s="243">
        <f t="shared" si="136"/>
        <v>7.0000000000000001E-3</v>
      </c>
      <c r="P704" s="1024">
        <f t="shared" si="136"/>
        <v>0.02</v>
      </c>
      <c r="Q704" s="360"/>
    </row>
    <row r="705" spans="2:17" ht="13.5" customHeight="1" thickBot="1">
      <c r="B705" s="1343"/>
      <c r="C705" s="1344" t="s">
        <v>12</v>
      </c>
      <c r="D705" s="2261">
        <v>0.1</v>
      </c>
      <c r="E705" s="1422">
        <v>7</v>
      </c>
      <c r="F705" s="1423">
        <v>0.14000000000000001</v>
      </c>
      <c r="G705" s="1424">
        <v>0.16</v>
      </c>
      <c r="H705" s="1461">
        <v>90</v>
      </c>
      <c r="I705" s="1423">
        <v>120</v>
      </c>
      <c r="J705" s="1424">
        <v>120</v>
      </c>
      <c r="K705" s="1461">
        <v>30</v>
      </c>
      <c r="L705" s="1423">
        <v>1.8</v>
      </c>
      <c r="M705" s="2445">
        <v>120</v>
      </c>
      <c r="N705" s="1423">
        <v>0.01</v>
      </c>
      <c r="O705" s="1424">
        <v>5.0000000000000001E-3</v>
      </c>
      <c r="P705" s="1425">
        <v>0.4</v>
      </c>
      <c r="Q705" s="360"/>
    </row>
    <row r="706" spans="2:17" ht="15.75" thickBot="1">
      <c r="B706" s="237"/>
      <c r="C706" s="1347" t="s">
        <v>943</v>
      </c>
      <c r="D706" s="1348" t="s">
        <v>280</v>
      </c>
      <c r="E706" s="1416">
        <f>(E704*100/E708)-10</f>
        <v>-4.1514285714285721</v>
      </c>
      <c r="F706" s="1370">
        <f t="shared" ref="F706:O706" si="137">(F704*100/F708)-10</f>
        <v>2.2857142857142883</v>
      </c>
      <c r="G706" s="1370">
        <f t="shared" si="137"/>
        <v>-7.5812500000000007</v>
      </c>
      <c r="H706" s="1370">
        <f>(H704*100/H708)-10</f>
        <v>-1.137444444444446</v>
      </c>
      <c r="I706" s="1370">
        <f t="shared" si="137"/>
        <v>-6.0871599999999999</v>
      </c>
      <c r="J706" s="1370">
        <f t="shared" si="137"/>
        <v>-4.7333333333333334</v>
      </c>
      <c r="K706" s="1370">
        <f t="shared" si="137"/>
        <v>-2.2666666666666666</v>
      </c>
      <c r="L706" s="1370">
        <f t="shared" si="137"/>
        <v>-5.1166666666666663</v>
      </c>
      <c r="M706" s="1370">
        <f t="shared" si="137"/>
        <v>5.8584166666666651</v>
      </c>
      <c r="N706" s="1370">
        <f t="shared" si="137"/>
        <v>-5.5</v>
      </c>
      <c r="O706" s="1370">
        <f t="shared" si="137"/>
        <v>4</v>
      </c>
      <c r="P706" s="1371">
        <f>(P704*100/P708)-10</f>
        <v>-9.5</v>
      </c>
      <c r="Q706" s="360"/>
    </row>
    <row r="707" spans="2:17" ht="12" customHeight="1" thickBot="1">
      <c r="E707" s="194"/>
      <c r="F707" s="194"/>
      <c r="G707" s="194"/>
      <c r="H707" s="204"/>
      <c r="I707" s="194"/>
      <c r="J707" s="194"/>
      <c r="K707" s="194"/>
      <c r="L707" s="194"/>
      <c r="M707" s="194"/>
      <c r="N707" s="194"/>
      <c r="O707" s="194"/>
      <c r="P707" s="194"/>
      <c r="Q707" s="360"/>
    </row>
    <row r="708" spans="2:17" ht="15.75" thickBot="1">
      <c r="B708" s="2369" t="s">
        <v>959</v>
      </c>
      <c r="C708" s="2262"/>
      <c r="D708" s="2263">
        <v>1</v>
      </c>
      <c r="E708" s="2407">
        <v>70</v>
      </c>
      <c r="F708" s="2408">
        <v>1.4</v>
      </c>
      <c r="G708" s="2408">
        <v>1.6</v>
      </c>
      <c r="H708" s="2264">
        <v>900</v>
      </c>
      <c r="I708" s="2405">
        <v>1200</v>
      </c>
      <c r="J708" s="2406">
        <v>1200</v>
      </c>
      <c r="K708" s="2406">
        <v>300</v>
      </c>
      <c r="L708" s="2409">
        <v>18</v>
      </c>
      <c r="M708" s="2405">
        <v>1200</v>
      </c>
      <c r="N708" s="2409">
        <v>0.1</v>
      </c>
      <c r="O708" s="2409">
        <v>0.05</v>
      </c>
      <c r="P708" s="2410">
        <v>4</v>
      </c>
      <c r="Q708" s="360"/>
    </row>
    <row r="709" spans="2:17" ht="15.75" thickBot="1"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360"/>
    </row>
    <row r="710" spans="2:17">
      <c r="B710" s="1021"/>
      <c r="C710" s="34" t="s">
        <v>481</v>
      </c>
      <c r="D710" s="35"/>
      <c r="E710" s="145">
        <f>E685+E697</f>
        <v>48.42</v>
      </c>
      <c r="F710" s="243">
        <f t="shared" ref="F710:P710" si="138">F685+F697</f>
        <v>0.86210000000000009</v>
      </c>
      <c r="G710" s="243">
        <f t="shared" si="138"/>
        <v>1.0204</v>
      </c>
      <c r="H710" s="243">
        <f t="shared" si="138"/>
        <v>499.00200000000001</v>
      </c>
      <c r="I710" s="243">
        <f t="shared" si="138"/>
        <v>705.27100000000007</v>
      </c>
      <c r="J710" s="243">
        <f t="shared" si="138"/>
        <v>672.96</v>
      </c>
      <c r="K710" s="243">
        <f t="shared" si="138"/>
        <v>201.47300000000001</v>
      </c>
      <c r="L710" s="243">
        <f t="shared" si="138"/>
        <v>10.271999999999998</v>
      </c>
      <c r="M710" s="243">
        <f t="shared" si="138"/>
        <v>714.86200000000008</v>
      </c>
      <c r="N710" s="243">
        <f t="shared" si="138"/>
        <v>6.3799999999999996E-2</v>
      </c>
      <c r="O710" s="243">
        <f t="shared" si="138"/>
        <v>2.7500000000000004E-2</v>
      </c>
      <c r="P710" s="1024">
        <f t="shared" si="138"/>
        <v>1.8441999999999998</v>
      </c>
      <c r="Q710" s="360"/>
    </row>
    <row r="711" spans="2:17" ht="10.5" customHeight="1">
      <c r="B711" s="513"/>
      <c r="C711" s="1368" t="s">
        <v>12</v>
      </c>
      <c r="D711" s="2261">
        <v>0.6</v>
      </c>
      <c r="E711" s="1355">
        <v>42</v>
      </c>
      <c r="F711" s="1365">
        <v>0.84</v>
      </c>
      <c r="G711" s="1364">
        <v>0.96</v>
      </c>
      <c r="H711" s="1363">
        <v>540</v>
      </c>
      <c r="I711" s="1365">
        <v>720</v>
      </c>
      <c r="J711" s="1364">
        <v>720</v>
      </c>
      <c r="K711" s="1363">
        <v>180</v>
      </c>
      <c r="L711" s="1365">
        <v>10.8</v>
      </c>
      <c r="M711" s="1369">
        <v>720</v>
      </c>
      <c r="N711" s="1365">
        <v>0.06</v>
      </c>
      <c r="O711" s="1364">
        <v>0.03</v>
      </c>
      <c r="P711" s="1366">
        <v>2.4</v>
      </c>
      <c r="Q711" s="360"/>
    </row>
    <row r="712" spans="2:17" ht="12.75" customHeight="1" thickBot="1">
      <c r="B712" s="237"/>
      <c r="C712" s="1347" t="s">
        <v>943</v>
      </c>
      <c r="D712" s="1348" t="s">
        <v>280</v>
      </c>
      <c r="E712" s="1416">
        <f>(E710*100/E708)-60</f>
        <v>9.1714285714285779</v>
      </c>
      <c r="F712" s="1370">
        <f t="shared" ref="F712:O712" si="139">(F710*100/F708)-60</f>
        <v>1.5785714285714363</v>
      </c>
      <c r="G712" s="1370">
        <f t="shared" si="139"/>
        <v>3.7749999999999915</v>
      </c>
      <c r="H712" s="1370">
        <f t="shared" si="139"/>
        <v>-4.5553333333333299</v>
      </c>
      <c r="I712" s="1370">
        <f t="shared" si="139"/>
        <v>-1.227416666666663</v>
      </c>
      <c r="J712" s="1370">
        <f t="shared" si="139"/>
        <v>-3.9200000000000017</v>
      </c>
      <c r="K712" s="1370">
        <f t="shared" si="139"/>
        <v>7.1576666666666711</v>
      </c>
      <c r="L712" s="1370">
        <f t="shared" si="139"/>
        <v>-2.9333333333333442</v>
      </c>
      <c r="M712" s="1370">
        <f t="shared" si="139"/>
        <v>-0.42816666666665526</v>
      </c>
      <c r="N712" s="1370">
        <f t="shared" si="139"/>
        <v>3.7999999999999972</v>
      </c>
      <c r="O712" s="1370">
        <f t="shared" si="139"/>
        <v>-4.9999999999999929</v>
      </c>
      <c r="P712" s="1371">
        <f>(P710*100/P708)-60</f>
        <v>-13.895000000000003</v>
      </c>
      <c r="Q712" s="360"/>
    </row>
    <row r="713" spans="2:17" ht="15.75" thickBot="1"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360"/>
    </row>
    <row r="714" spans="2:17">
      <c r="B714" s="1021"/>
      <c r="C714" s="34" t="s">
        <v>480</v>
      </c>
      <c r="D714" s="35"/>
      <c r="E714" s="145">
        <f>E697+E704</f>
        <v>43.506</v>
      </c>
      <c r="F714" s="243">
        <f t="shared" ref="F714:P714" si="140">F697+F704</f>
        <v>0.66210000000000002</v>
      </c>
      <c r="G714" s="243">
        <f t="shared" si="140"/>
        <v>0.59870000000000001</v>
      </c>
      <c r="H714" s="243">
        <f t="shared" si="140"/>
        <v>394.779</v>
      </c>
      <c r="I714" s="243">
        <f t="shared" si="140"/>
        <v>550.61208000000011</v>
      </c>
      <c r="J714" s="243">
        <f t="shared" si="140"/>
        <v>525.06000000000006</v>
      </c>
      <c r="K714" s="243">
        <f t="shared" si="140"/>
        <v>154.93299999999999</v>
      </c>
      <c r="L714" s="243">
        <f t="shared" si="140"/>
        <v>7.0059999999999985</v>
      </c>
      <c r="M714" s="243">
        <f t="shared" si="140"/>
        <v>682.01800000000003</v>
      </c>
      <c r="N714" s="243">
        <f t="shared" si="140"/>
        <v>4.2499999999999996E-2</v>
      </c>
      <c r="O714" s="243">
        <f t="shared" si="140"/>
        <v>2.35E-2</v>
      </c>
      <c r="P714" s="1024">
        <f t="shared" si="140"/>
        <v>1.474</v>
      </c>
      <c r="Q714" s="360"/>
    </row>
    <row r="715" spans="2:17">
      <c r="B715" s="513"/>
      <c r="C715" s="1368" t="s">
        <v>12</v>
      </c>
      <c r="D715" s="2261">
        <v>0.45</v>
      </c>
      <c r="E715" s="1355">
        <v>31.5</v>
      </c>
      <c r="F715" s="1365">
        <v>0.63</v>
      </c>
      <c r="G715" s="1364">
        <v>0.72</v>
      </c>
      <c r="H715" s="1364">
        <v>405</v>
      </c>
      <c r="I715" s="1365">
        <v>540</v>
      </c>
      <c r="J715" s="1364">
        <v>540</v>
      </c>
      <c r="K715" s="1364">
        <v>135</v>
      </c>
      <c r="L715" s="1365">
        <v>8.1</v>
      </c>
      <c r="M715" s="1365">
        <v>540</v>
      </c>
      <c r="N715" s="1365">
        <v>4.4999999999999998E-2</v>
      </c>
      <c r="O715" s="1364">
        <v>2.2499999999999999E-2</v>
      </c>
      <c r="P715" s="1366">
        <v>1.8</v>
      </c>
      <c r="Q715" s="360"/>
    </row>
    <row r="716" spans="2:17" ht="13.5" customHeight="1" thickBot="1">
      <c r="B716" s="237"/>
      <c r="C716" s="1347" t="s">
        <v>943</v>
      </c>
      <c r="D716" s="1348" t="s">
        <v>280</v>
      </c>
      <c r="E716" s="1416">
        <f>(E714*100/E708)-45</f>
        <v>17.151428571428575</v>
      </c>
      <c r="F716" s="1370">
        <f t="shared" ref="F716:O716" si="141">(F714*100/F708)-45</f>
        <v>2.2928571428571516</v>
      </c>
      <c r="G716" s="1370">
        <f t="shared" si="141"/>
        <v>-7.5812499999999972</v>
      </c>
      <c r="H716" s="1370">
        <f t="shared" si="141"/>
        <v>-1.1356666666666655</v>
      </c>
      <c r="I716" s="1370">
        <f t="shared" si="141"/>
        <v>0.88434000000000879</v>
      </c>
      <c r="J716" s="1370">
        <f t="shared" si="141"/>
        <v>-1.2449999999999974</v>
      </c>
      <c r="K716" s="1370">
        <f t="shared" si="141"/>
        <v>6.6443333333333285</v>
      </c>
      <c r="L716" s="1370">
        <f t="shared" si="141"/>
        <v>-6.0777777777777899</v>
      </c>
      <c r="M716" s="1370">
        <f t="shared" si="141"/>
        <v>11.834833333333336</v>
      </c>
      <c r="N716" s="1370">
        <f t="shared" si="141"/>
        <v>-2.5</v>
      </c>
      <c r="O716" s="1370">
        <f t="shared" si="141"/>
        <v>2</v>
      </c>
      <c r="P716" s="1371">
        <f>(P714*100/P708)-45</f>
        <v>-8.1499999999999986</v>
      </c>
      <c r="Q716" s="360"/>
    </row>
    <row r="717" spans="2:17" ht="15.75" thickBot="1"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207"/>
      <c r="Q717" s="360"/>
    </row>
    <row r="718" spans="2:17">
      <c r="B718" s="1372" t="s">
        <v>741</v>
      </c>
      <c r="C718" s="68"/>
      <c r="D718" s="47"/>
      <c r="E718" s="1408">
        <f>E685+E697+E704</f>
        <v>52.514000000000003</v>
      </c>
      <c r="F718" s="1361">
        <f>F685+F697+F704</f>
        <v>1.0341</v>
      </c>
      <c r="G718" s="1361">
        <f t="shared" ref="G718:P718" si="142">G685+G697+G704</f>
        <v>1.0590999999999999</v>
      </c>
      <c r="H718" s="1361">
        <f t="shared" si="142"/>
        <v>578.76499999999999</v>
      </c>
      <c r="I718" s="1361">
        <f t="shared" si="142"/>
        <v>752.22508000000005</v>
      </c>
      <c r="J718" s="1361">
        <f t="shared" si="142"/>
        <v>736.16000000000008</v>
      </c>
      <c r="K718" s="1361">
        <f t="shared" si="142"/>
        <v>224.673</v>
      </c>
      <c r="L718" s="1361">
        <f t="shared" si="142"/>
        <v>11.150999999999998</v>
      </c>
      <c r="M718" s="1361">
        <f t="shared" si="142"/>
        <v>905.16300000000001</v>
      </c>
      <c r="N718" s="1361">
        <f t="shared" si="142"/>
        <v>6.83E-2</v>
      </c>
      <c r="O718" s="1361">
        <f t="shared" si="142"/>
        <v>3.4500000000000003E-2</v>
      </c>
      <c r="P718" s="1409">
        <f t="shared" si="142"/>
        <v>1.8641999999999999</v>
      </c>
      <c r="Q718" s="360"/>
    </row>
    <row r="719" spans="2:17">
      <c r="B719" s="1343"/>
      <c r="C719" s="1344" t="s">
        <v>12</v>
      </c>
      <c r="D719" s="2261">
        <v>0.7</v>
      </c>
      <c r="E719" s="1355">
        <v>49</v>
      </c>
      <c r="F719" s="1365">
        <v>0.98</v>
      </c>
      <c r="G719" s="1364">
        <v>1.1200000000000001</v>
      </c>
      <c r="H719" s="1364">
        <v>630</v>
      </c>
      <c r="I719" s="1365">
        <v>840</v>
      </c>
      <c r="J719" s="1364">
        <v>840</v>
      </c>
      <c r="K719" s="1364">
        <v>210</v>
      </c>
      <c r="L719" s="1365">
        <v>12.6</v>
      </c>
      <c r="M719" s="1365">
        <v>840</v>
      </c>
      <c r="N719" s="1365">
        <v>7.0000000000000007E-2</v>
      </c>
      <c r="O719" s="1364">
        <v>3.5000000000000003E-2</v>
      </c>
      <c r="P719" s="1366">
        <v>2.8</v>
      </c>
      <c r="Q719" s="360"/>
    </row>
    <row r="720" spans="2:17" ht="15.75" thickBot="1">
      <c r="B720" s="237"/>
      <c r="C720" s="1347" t="s">
        <v>943</v>
      </c>
      <c r="D720" s="1348" t="s">
        <v>280</v>
      </c>
      <c r="E720" s="1416">
        <f>(E718*100/E708)-70</f>
        <v>5.0200000000000102</v>
      </c>
      <c r="F720" s="1370">
        <f t="shared" ref="F720:O720" si="143">(F718*100/F708)-70</f>
        <v>3.8642857142857139</v>
      </c>
      <c r="G720" s="1370">
        <f t="shared" si="143"/>
        <v>-3.8062500000000057</v>
      </c>
      <c r="H720" s="1370">
        <f t="shared" si="143"/>
        <v>-5.6927777777777777</v>
      </c>
      <c r="I720" s="1370">
        <f>(I718*100/I708)-70</f>
        <v>-7.3145766666666674</v>
      </c>
      <c r="J720" s="1370">
        <f t="shared" si="143"/>
        <v>-8.6533333333333218</v>
      </c>
      <c r="K720" s="1370">
        <f t="shared" si="143"/>
        <v>4.8909999999999911</v>
      </c>
      <c r="L720" s="1370">
        <f t="shared" si="143"/>
        <v>-8.0500000000000043</v>
      </c>
      <c r="M720" s="1370">
        <f t="shared" si="143"/>
        <v>5.4302500000000009</v>
      </c>
      <c r="N720" s="1370">
        <f t="shared" si="143"/>
        <v>-1.7000000000000028</v>
      </c>
      <c r="O720" s="1370">
        <f t="shared" si="143"/>
        <v>-1</v>
      </c>
      <c r="P720" s="1371">
        <f>(P718*100/P708)-70</f>
        <v>-23.395000000000003</v>
      </c>
      <c r="Q720" s="360"/>
    </row>
    <row r="721" spans="2:17">
      <c r="P721"/>
      <c r="Q721" s="360"/>
    </row>
    <row r="722" spans="2:17"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360"/>
    </row>
    <row r="723" spans="2:17">
      <c r="C723" s="1300"/>
      <c r="D723"/>
      <c r="E723" s="32"/>
      <c r="P723"/>
      <c r="Q723" s="360"/>
    </row>
    <row r="724" spans="2:17" ht="14.25" customHeight="1"/>
    <row r="725" spans="2:17" ht="12" customHeight="1"/>
    <row r="726" spans="2:17" ht="12.75" customHeight="1"/>
    <row r="727" spans="2:17">
      <c r="C727" s="1300" t="s">
        <v>695</v>
      </c>
      <c r="D727"/>
      <c r="E727" s="32"/>
      <c r="K727" s="385"/>
      <c r="P727"/>
      <c r="Q727" s="360"/>
    </row>
    <row r="728" spans="2:17" ht="14.25" customHeight="1">
      <c r="C728" s="7" t="s">
        <v>754</v>
      </c>
      <c r="D728" s="8"/>
      <c r="E728" s="2"/>
      <c r="K728"/>
      <c r="P728"/>
      <c r="Q728" s="360"/>
    </row>
    <row r="729" spans="2:17" ht="13.5" customHeight="1">
      <c r="C729" s="1" t="s">
        <v>359</v>
      </c>
      <c r="D729"/>
      <c r="E729"/>
      <c r="F729"/>
      <c r="K729" s="63"/>
      <c r="P729"/>
      <c r="Q729" s="360"/>
    </row>
    <row r="730" spans="2:17" ht="13.5" customHeight="1">
      <c r="C730" s="19" t="s">
        <v>282</v>
      </c>
      <c r="E730"/>
      <c r="F730"/>
      <c r="G730" s="19"/>
      <c r="H730" s="19"/>
      <c r="K730" s="119"/>
      <c r="P730"/>
      <c r="Q730" s="360"/>
    </row>
    <row r="731" spans="2:17" ht="15.75">
      <c r="C731" s="1300" t="s">
        <v>694</v>
      </c>
      <c r="D731"/>
      <c r="J731" s="20" t="s">
        <v>0</v>
      </c>
      <c r="K731"/>
      <c r="L731" s="2" t="s">
        <v>317</v>
      </c>
      <c r="M731" s="13"/>
      <c r="N731" s="13"/>
      <c r="O731" s="24"/>
      <c r="Q731" s="360"/>
    </row>
    <row r="732" spans="2:17" ht="21">
      <c r="B732" s="43" t="s">
        <v>698</v>
      </c>
      <c r="E732"/>
      <c r="F732"/>
      <c r="G732" s="23" t="s">
        <v>364</v>
      </c>
      <c r="H732" s="19"/>
      <c r="K732" s="32"/>
      <c r="P732"/>
      <c r="Q732" s="360"/>
    </row>
    <row r="733" spans="2:17" ht="15.75" thickBot="1">
      <c r="C733" s="94" t="s">
        <v>789</v>
      </c>
      <c r="E733" s="46"/>
      <c r="F733" s="46"/>
      <c r="G733" s="46"/>
      <c r="H733" s="46"/>
      <c r="I733" s="46"/>
      <c r="J733" s="46"/>
      <c r="K733" s="46"/>
      <c r="L733" s="46"/>
      <c r="M733" s="46"/>
      <c r="N733" s="1374"/>
      <c r="O733" s="46"/>
      <c r="P733" s="46"/>
      <c r="Q733" s="360"/>
    </row>
    <row r="734" spans="2:17" ht="22.5" customHeight="1" thickBot="1">
      <c r="B734" s="1304" t="s">
        <v>700</v>
      </c>
      <c r="C734" s="99"/>
      <c r="D734" s="1376" t="s">
        <v>251</v>
      </c>
      <c r="E734" s="1306" t="s">
        <v>701</v>
      </c>
      <c r="F734" s="1307"/>
      <c r="G734" s="1307"/>
      <c r="H734" s="1308"/>
      <c r="I734" s="1309" t="s">
        <v>730</v>
      </c>
      <c r="J734" s="31"/>
      <c r="K734" s="1310"/>
      <c r="L734" s="31"/>
      <c r="M734" s="31"/>
      <c r="N734" s="31"/>
      <c r="O734" s="31"/>
      <c r="P734" s="54"/>
      <c r="Q734" s="1304" t="s">
        <v>703</v>
      </c>
    </row>
    <row r="735" spans="2:17" ht="14.25" customHeight="1">
      <c r="B735" s="535" t="s">
        <v>704</v>
      </c>
      <c r="C735" s="530" t="s">
        <v>257</v>
      </c>
      <c r="D735" s="1377" t="s">
        <v>258</v>
      </c>
      <c r="E735" s="1312" t="s">
        <v>705</v>
      </c>
      <c r="F735" s="1313" t="s">
        <v>706</v>
      </c>
      <c r="G735" s="787" t="s">
        <v>707</v>
      </c>
      <c r="H735" s="1314" t="s">
        <v>708</v>
      </c>
      <c r="I735" s="1315" t="s">
        <v>709</v>
      </c>
      <c r="J735" s="1316" t="s">
        <v>710</v>
      </c>
      <c r="K735" s="1317" t="s">
        <v>711</v>
      </c>
      <c r="L735" s="1318" t="s">
        <v>712</v>
      </c>
      <c r="M735" s="1319" t="s">
        <v>713</v>
      </c>
      <c r="N735" s="835" t="s">
        <v>714</v>
      </c>
      <c r="O735" s="1319" t="s">
        <v>715</v>
      </c>
      <c r="P735" s="1320" t="s">
        <v>716</v>
      </c>
      <c r="Q735" s="1321" t="s">
        <v>717</v>
      </c>
    </row>
    <row r="736" spans="2:17" ht="15.75" thickBot="1">
      <c r="B736" s="541" t="s">
        <v>718</v>
      </c>
      <c r="C736" s="579"/>
      <c r="D736" s="537"/>
      <c r="E736" s="56"/>
      <c r="F736" s="1378"/>
      <c r="H736" s="1378"/>
      <c r="I736" s="1379" t="s">
        <v>719</v>
      </c>
      <c r="J736" s="119" t="s">
        <v>720</v>
      </c>
      <c r="K736" s="1380" t="s">
        <v>721</v>
      </c>
      <c r="L736" s="1381" t="s">
        <v>722</v>
      </c>
      <c r="M736" s="1380" t="s">
        <v>723</v>
      </c>
      <c r="N736" s="46" t="s">
        <v>724</v>
      </c>
      <c r="O736" s="1382" t="s">
        <v>725</v>
      </c>
      <c r="P736" s="1383" t="s">
        <v>726</v>
      </c>
      <c r="Q736" s="1330" t="s">
        <v>490</v>
      </c>
    </row>
    <row r="737" spans="2:29" ht="12.75" customHeight="1">
      <c r="B737" s="99"/>
      <c r="C737" s="542" t="s">
        <v>199</v>
      </c>
      <c r="D737" s="543"/>
      <c r="E737" s="1331"/>
      <c r="F737" s="545"/>
      <c r="G737" s="545"/>
      <c r="H737" s="1412"/>
      <c r="I737" s="1333"/>
      <c r="J737" s="1333"/>
      <c r="K737" s="1459"/>
      <c r="L737" s="1333"/>
      <c r="M737" s="1333"/>
      <c r="N737" s="1333"/>
      <c r="O737" s="1333"/>
      <c r="P737" s="1335"/>
      <c r="Q737" s="1413"/>
      <c r="V737" s="44"/>
      <c r="W737" s="44"/>
      <c r="X737" s="789"/>
    </row>
    <row r="738" spans="2:29">
      <c r="B738" s="2293" t="s">
        <v>645</v>
      </c>
      <c r="C738" s="560" t="s">
        <v>375</v>
      </c>
      <c r="D738" s="561">
        <v>60</v>
      </c>
      <c r="E738" s="2392">
        <v>15</v>
      </c>
      <c r="F738" s="380">
        <v>0.04</v>
      </c>
      <c r="G738" s="380">
        <v>0.02</v>
      </c>
      <c r="H738" s="1384">
        <v>79.8</v>
      </c>
      <c r="I738" s="2394">
        <v>8.4</v>
      </c>
      <c r="J738" s="2394">
        <v>16</v>
      </c>
      <c r="K738" s="2394">
        <v>12</v>
      </c>
      <c r="L738" s="2394">
        <v>0.54</v>
      </c>
      <c r="M738" s="1359">
        <v>74</v>
      </c>
      <c r="N738" s="2416">
        <v>0.02</v>
      </c>
      <c r="O738" s="1359">
        <v>2.3999999999999998E-3</v>
      </c>
      <c r="P738" s="1359">
        <v>0.12</v>
      </c>
      <c r="Q738" s="557">
        <v>2</v>
      </c>
      <c r="V738" s="44"/>
      <c r="W738" s="44"/>
      <c r="X738" s="789"/>
    </row>
    <row r="739" spans="2:29" ht="12.75" customHeight="1">
      <c r="B739" s="2290" t="s">
        <v>578</v>
      </c>
      <c r="C739" s="993" t="s">
        <v>577</v>
      </c>
      <c r="D739" s="285">
        <v>100</v>
      </c>
      <c r="E739" s="1536">
        <v>6.6000000000000003E-2</v>
      </c>
      <c r="F739" s="1359">
        <v>0.126</v>
      </c>
      <c r="G739" s="2416">
        <v>0.26250000000000001</v>
      </c>
      <c r="H739" s="1298">
        <v>26.908999999999999</v>
      </c>
      <c r="I739" s="1359">
        <v>157.50059999999999</v>
      </c>
      <c r="J739" s="1359">
        <v>65.650000000000006</v>
      </c>
      <c r="K739" s="1359">
        <v>6.16</v>
      </c>
      <c r="L739" s="1359">
        <v>0.41</v>
      </c>
      <c r="M739" s="1359">
        <v>13.84</v>
      </c>
      <c r="N739" s="2401">
        <v>0</v>
      </c>
      <c r="O739" s="2401">
        <v>7.5000000000000002E-4</v>
      </c>
      <c r="P739" s="2393">
        <v>0.315</v>
      </c>
      <c r="Q739" s="557">
        <v>51</v>
      </c>
      <c r="V739" s="44"/>
      <c r="W739" s="222"/>
      <c r="X739" s="789"/>
    </row>
    <row r="740" spans="2:29">
      <c r="B740" s="2294" t="s">
        <v>574</v>
      </c>
      <c r="C740" s="1487" t="s">
        <v>780</v>
      </c>
      <c r="D740" s="551" t="s">
        <v>573</v>
      </c>
      <c r="E740" s="1534">
        <v>1.04</v>
      </c>
      <c r="F740" s="2444">
        <v>0.09</v>
      </c>
      <c r="G740" s="147">
        <v>5.1999999999999998E-2</v>
      </c>
      <c r="H740" s="1535">
        <v>0</v>
      </c>
      <c r="I740" s="2397">
        <v>10.8</v>
      </c>
      <c r="J740" s="2397">
        <v>46.7</v>
      </c>
      <c r="K740" s="2397">
        <v>7.4</v>
      </c>
      <c r="L740" s="2397">
        <v>0.7</v>
      </c>
      <c r="M740" s="2397">
        <v>23.210999999999999</v>
      </c>
      <c r="N740" s="2475">
        <v>0</v>
      </c>
      <c r="O740" s="2397">
        <v>6.7999999999999996E-3</v>
      </c>
      <c r="P740" s="2434">
        <v>0.43</v>
      </c>
      <c r="Q740" s="589">
        <v>46</v>
      </c>
      <c r="V740" s="153"/>
      <c r="W740" s="153"/>
      <c r="X740" s="789"/>
    </row>
    <row r="741" spans="2:29" ht="11.25" customHeight="1">
      <c r="B741" s="2305" t="s">
        <v>570</v>
      </c>
      <c r="C741" s="1488" t="s">
        <v>781</v>
      </c>
      <c r="D741" s="590"/>
      <c r="E741" s="1276">
        <v>1.123</v>
      </c>
      <c r="F741" s="1294">
        <v>2.1999999999999999E-2</v>
      </c>
      <c r="G741" s="2400">
        <v>2.9000000000000001E-2</v>
      </c>
      <c r="H741" s="1298">
        <v>15.12</v>
      </c>
      <c r="I741" s="1359">
        <v>36.81</v>
      </c>
      <c r="J741" s="1359">
        <v>42.17</v>
      </c>
      <c r="K741" s="1359">
        <v>6.36</v>
      </c>
      <c r="L741" s="1359">
        <v>1.1879999999999999</v>
      </c>
      <c r="M741" s="1359">
        <v>32.363</v>
      </c>
      <c r="N741" s="2401">
        <v>3.2399999999999998E-3</v>
      </c>
      <c r="O741" s="1359">
        <v>4.2999999999999999E-4</v>
      </c>
      <c r="P741" s="2393">
        <v>0.12</v>
      </c>
      <c r="Q741" s="593"/>
      <c r="V741" s="44"/>
      <c r="W741" s="44"/>
      <c r="X741" s="789"/>
    </row>
    <row r="742" spans="2:29">
      <c r="B742" s="1473" t="s">
        <v>9</v>
      </c>
      <c r="C742" s="560" t="s">
        <v>151</v>
      </c>
      <c r="D742" s="561">
        <v>200</v>
      </c>
      <c r="E742" s="2392">
        <v>4</v>
      </c>
      <c r="F742" s="380">
        <v>0.02</v>
      </c>
      <c r="G742" s="380">
        <v>0.02</v>
      </c>
      <c r="H742" s="1384">
        <v>0</v>
      </c>
      <c r="I742" s="1359">
        <v>14</v>
      </c>
      <c r="J742" s="1359">
        <v>14</v>
      </c>
      <c r="K742" s="380">
        <v>8</v>
      </c>
      <c r="L742" s="1359">
        <v>1.1679999999999999</v>
      </c>
      <c r="M742" s="1359">
        <v>99.6</v>
      </c>
      <c r="N742" s="1359">
        <v>2E-3</v>
      </c>
      <c r="O742" s="1359">
        <v>0</v>
      </c>
      <c r="P742" s="2393">
        <v>0</v>
      </c>
      <c r="Q742" s="581">
        <v>76</v>
      </c>
      <c r="V742" s="44"/>
      <c r="W742" s="44"/>
      <c r="X742" s="789"/>
    </row>
    <row r="743" spans="2:29" ht="12.75" customHeight="1">
      <c r="B743" s="1473" t="s">
        <v>10</v>
      </c>
      <c r="C743" s="556" t="s">
        <v>11</v>
      </c>
      <c r="D743" s="561">
        <v>50</v>
      </c>
      <c r="E743" s="2392">
        <v>0.1</v>
      </c>
      <c r="F743" s="380">
        <v>0.02</v>
      </c>
      <c r="G743" s="380">
        <v>1.7000000000000001E-2</v>
      </c>
      <c r="H743" s="1298">
        <v>0</v>
      </c>
      <c r="I743" s="1294">
        <v>79.166700000000006</v>
      </c>
      <c r="J743" s="1294">
        <v>64.5</v>
      </c>
      <c r="K743" s="1294">
        <v>20.5</v>
      </c>
      <c r="L743" s="1294">
        <v>0.05</v>
      </c>
      <c r="M743" s="2520">
        <v>37.167000000000002</v>
      </c>
      <c r="N743" s="1294">
        <v>0</v>
      </c>
      <c r="O743" s="1294">
        <v>0</v>
      </c>
      <c r="P743" s="1294">
        <v>0</v>
      </c>
      <c r="Q743" s="219">
        <v>11</v>
      </c>
      <c r="V743" s="44"/>
      <c r="W743" s="44"/>
      <c r="X743" s="789"/>
    </row>
    <row r="744" spans="2:29" ht="15" customHeight="1" thickBot="1">
      <c r="B744" s="2296" t="s">
        <v>10</v>
      </c>
      <c r="C744" s="573" t="s">
        <v>792</v>
      </c>
      <c r="D744" s="574">
        <v>20</v>
      </c>
      <c r="E744" s="2402">
        <v>0</v>
      </c>
      <c r="F744" s="381">
        <v>0.04</v>
      </c>
      <c r="G744" s="381">
        <v>0</v>
      </c>
      <c r="H744" s="1465">
        <v>0</v>
      </c>
      <c r="I744" s="242">
        <v>16.600000000000001</v>
      </c>
      <c r="J744" s="242">
        <v>38.799999999999997</v>
      </c>
      <c r="K744" s="242">
        <v>11.4</v>
      </c>
      <c r="L744" s="242">
        <v>0.02</v>
      </c>
      <c r="M744" s="242">
        <v>28.8</v>
      </c>
      <c r="N744" s="242">
        <v>5.0000000000000001E-4</v>
      </c>
      <c r="O744" s="242">
        <v>0</v>
      </c>
      <c r="P744" s="1337">
        <v>0</v>
      </c>
      <c r="Q744" s="589">
        <v>12</v>
      </c>
      <c r="V744" s="792"/>
      <c r="W744" s="793"/>
      <c r="X744" s="2310"/>
      <c r="Y744" s="210"/>
      <c r="Z744" s="22"/>
    </row>
    <row r="745" spans="2:29">
      <c r="B745" s="1404" t="s">
        <v>283</v>
      </c>
      <c r="C745" s="168"/>
      <c r="D745" s="2302">
        <f>D738+D739+D742+D743+D744+90+90</f>
        <v>610</v>
      </c>
      <c r="E745" s="566">
        <f t="shared" ref="E745:P745" si="144">SUM(E738:E744)</f>
        <v>21.329000000000004</v>
      </c>
      <c r="F745" s="1353">
        <f>SUM(F738:F744)</f>
        <v>0.35800000000000004</v>
      </c>
      <c r="G745" s="1353">
        <f>SUM(G738:G744)</f>
        <v>0.40050000000000008</v>
      </c>
      <c r="H745" s="1353">
        <f t="shared" si="144"/>
        <v>121.82900000000001</v>
      </c>
      <c r="I745" s="1353">
        <f t="shared" si="144"/>
        <v>323.27730000000003</v>
      </c>
      <c r="J745" s="1353">
        <f t="shared" si="144"/>
        <v>287.82000000000005</v>
      </c>
      <c r="K745" s="1353">
        <f t="shared" si="144"/>
        <v>71.820000000000007</v>
      </c>
      <c r="L745" s="1353">
        <f t="shared" si="144"/>
        <v>4.0759999999999996</v>
      </c>
      <c r="M745" s="1353">
        <f t="shared" si="144"/>
        <v>308.98099999999999</v>
      </c>
      <c r="N745" s="1353">
        <f t="shared" si="144"/>
        <v>2.5739999999999999E-2</v>
      </c>
      <c r="O745" s="1353">
        <f t="shared" si="144"/>
        <v>1.038E-2</v>
      </c>
      <c r="P745" s="1405">
        <f t="shared" si="144"/>
        <v>0.98499999999999999</v>
      </c>
      <c r="Q745" s="2276"/>
      <c r="V745" s="1289"/>
      <c r="W745" s="1289"/>
      <c r="X745" s="1289"/>
      <c r="Y745" s="1029"/>
      <c r="Z745" s="1"/>
      <c r="AC745" s="1557"/>
    </row>
    <row r="746" spans="2:29">
      <c r="B746" s="513"/>
      <c r="C746" s="794" t="s">
        <v>12</v>
      </c>
      <c r="D746" s="2291">
        <v>0.25</v>
      </c>
      <c r="E746" s="1398">
        <v>17.5</v>
      </c>
      <c r="F746" s="2413">
        <v>0.35</v>
      </c>
      <c r="G746" s="1399">
        <v>0.4</v>
      </c>
      <c r="H746" s="1345">
        <v>225</v>
      </c>
      <c r="I746" s="2413">
        <v>300</v>
      </c>
      <c r="J746" s="1399">
        <v>300</v>
      </c>
      <c r="K746" s="1345">
        <v>75</v>
      </c>
      <c r="L746" s="2413">
        <v>4.5</v>
      </c>
      <c r="M746" s="1346">
        <v>300</v>
      </c>
      <c r="N746" s="2413">
        <v>2.5000000000000001E-2</v>
      </c>
      <c r="O746" s="1399">
        <v>1.2500000000000001E-2</v>
      </c>
      <c r="P746" s="1460">
        <v>1</v>
      </c>
      <c r="Q746" s="2276"/>
      <c r="V746" s="1"/>
      <c r="W746" s="1"/>
      <c r="X746" s="1"/>
      <c r="Y746" s="1"/>
      <c r="Z746" s="40"/>
    </row>
    <row r="747" spans="2:29" ht="15.75" thickBot="1">
      <c r="B747" s="237"/>
      <c r="C747" s="1347" t="s">
        <v>943</v>
      </c>
      <c r="D747" s="1356" t="s">
        <v>280</v>
      </c>
      <c r="E747" s="1416">
        <f>(E745*100/E769)-25</f>
        <v>5.4700000000000095</v>
      </c>
      <c r="F747" s="1370">
        <f t="shared" ref="F747:P747" si="145">(F745*100/F769)-25</f>
        <v>0.5714285714285765</v>
      </c>
      <c r="G747" s="1370">
        <f t="shared" si="145"/>
        <v>3.1250000000007105E-2</v>
      </c>
      <c r="H747" s="1370">
        <f>(H745*100/H769)-25</f>
        <v>-11.463444444444443</v>
      </c>
      <c r="I747" s="1370">
        <f t="shared" si="145"/>
        <v>1.9397750000000009</v>
      </c>
      <c r="J747" s="1370">
        <f t="shared" si="145"/>
        <v>-1.014999999999997</v>
      </c>
      <c r="K747" s="1370">
        <f t="shared" si="145"/>
        <v>-1.0599999999999987</v>
      </c>
      <c r="L747" s="1370">
        <f t="shared" si="145"/>
        <v>-2.3555555555555578</v>
      </c>
      <c r="M747" s="1370">
        <f t="shared" si="145"/>
        <v>0.74841666666666384</v>
      </c>
      <c r="N747" s="1370">
        <f t="shared" si="145"/>
        <v>0.73999999999999844</v>
      </c>
      <c r="O747" s="1370">
        <f t="shared" si="145"/>
        <v>-4.240000000000002</v>
      </c>
      <c r="P747" s="1371">
        <f t="shared" si="145"/>
        <v>-0.375</v>
      </c>
      <c r="Q747" s="2276"/>
      <c r="V747" s="44"/>
      <c r="W747" s="44"/>
      <c r="X747" s="789"/>
    </row>
    <row r="748" spans="2:29" ht="12.75" customHeight="1">
      <c r="B748" s="99"/>
      <c r="C748" s="542" t="s">
        <v>152</v>
      </c>
      <c r="D748" s="99"/>
      <c r="E748" s="1534"/>
      <c r="F748" s="2451"/>
      <c r="G748" s="2451"/>
      <c r="H748" s="2397"/>
      <c r="I748" s="2397"/>
      <c r="J748" s="2397"/>
      <c r="K748" s="2397"/>
      <c r="L748" s="2397"/>
      <c r="M748" s="2397"/>
      <c r="N748" s="2397"/>
      <c r="O748" s="2397"/>
      <c r="P748" s="2434"/>
      <c r="Q748" s="1358"/>
      <c r="V748" s="44"/>
      <c r="W748" s="222"/>
      <c r="X748" s="789"/>
    </row>
    <row r="749" spans="2:29">
      <c r="B749" s="2293" t="s">
        <v>788</v>
      </c>
      <c r="C749" s="185" t="s">
        <v>661</v>
      </c>
      <c r="D749" s="561">
        <v>60</v>
      </c>
      <c r="E749" s="2392">
        <v>27</v>
      </c>
      <c r="F749" s="380">
        <v>0</v>
      </c>
      <c r="G749" s="380">
        <v>0</v>
      </c>
      <c r="H749" s="1298">
        <v>1.8</v>
      </c>
      <c r="I749" s="1359">
        <v>29</v>
      </c>
      <c r="J749" s="1359">
        <v>19</v>
      </c>
      <c r="K749" s="1359">
        <v>9.6</v>
      </c>
      <c r="L749" s="1359">
        <v>0.4</v>
      </c>
      <c r="M749" s="1359">
        <v>96.320999999999998</v>
      </c>
      <c r="N749" s="1359">
        <v>2.3099999999999999E-2</v>
      </c>
      <c r="O749" s="2401">
        <v>2.8840000000000001E-2</v>
      </c>
      <c r="P749" s="2393">
        <v>0.6</v>
      </c>
      <c r="Q749" s="557">
        <v>8</v>
      </c>
      <c r="V749" s="153"/>
      <c r="W749" s="153"/>
      <c r="X749" s="789"/>
    </row>
    <row r="750" spans="2:29" ht="15" customHeight="1">
      <c r="B750" s="1473" t="s">
        <v>839</v>
      </c>
      <c r="C750" s="249" t="s">
        <v>841</v>
      </c>
      <c r="D750" s="551">
        <v>250</v>
      </c>
      <c r="E750" s="1294">
        <v>0.25</v>
      </c>
      <c r="F750" s="1359">
        <v>0.14799999999999999</v>
      </c>
      <c r="G750" s="1359">
        <v>0.12</v>
      </c>
      <c r="H750" s="1298">
        <v>138.69999999999999</v>
      </c>
      <c r="I750" s="1359">
        <v>37.25</v>
      </c>
      <c r="J750" s="1359">
        <v>11.05</v>
      </c>
      <c r="K750" s="1359">
        <v>6.3</v>
      </c>
      <c r="L750" s="1359">
        <v>1.25</v>
      </c>
      <c r="M750" s="1359">
        <v>26</v>
      </c>
      <c r="N750" s="1359">
        <v>2E-3</v>
      </c>
      <c r="O750" s="2458">
        <v>0</v>
      </c>
      <c r="P750" s="2393">
        <v>0.1036</v>
      </c>
      <c r="Q750" s="589">
        <v>25</v>
      </c>
      <c r="V750" s="44"/>
      <c r="W750" s="222"/>
      <c r="X750" s="789"/>
    </row>
    <row r="751" spans="2:29">
      <c r="B751" s="2309" t="s">
        <v>849</v>
      </c>
      <c r="C751" s="2318" t="s">
        <v>851</v>
      </c>
      <c r="D751" s="1042">
        <v>110</v>
      </c>
      <c r="E751" s="2392">
        <v>0</v>
      </c>
      <c r="F751" s="2459">
        <v>0.17730000000000001</v>
      </c>
      <c r="G751" s="380">
        <v>0.16089999999999999</v>
      </c>
      <c r="H751" s="1298">
        <v>42.216999999999999</v>
      </c>
      <c r="I751" s="1359">
        <v>31.071999999999999</v>
      </c>
      <c r="J751" s="1359">
        <v>62.243000000000002</v>
      </c>
      <c r="K751" s="380">
        <v>2.988</v>
      </c>
      <c r="L751" s="1359">
        <v>1.913</v>
      </c>
      <c r="M751" s="1359">
        <v>10</v>
      </c>
      <c r="N751" s="1359">
        <v>0</v>
      </c>
      <c r="O751" s="1359">
        <v>0</v>
      </c>
      <c r="P751" s="2393">
        <v>0.11</v>
      </c>
      <c r="Q751" s="572">
        <v>61</v>
      </c>
      <c r="V751" s="153"/>
      <c r="W751" s="153"/>
      <c r="X751" s="789"/>
    </row>
    <row r="752" spans="2:29" ht="14.25" customHeight="1">
      <c r="B752" s="2294" t="s">
        <v>333</v>
      </c>
      <c r="C752" s="1490" t="s">
        <v>782</v>
      </c>
      <c r="D752" s="551" t="s">
        <v>544</v>
      </c>
      <c r="E752" s="2392">
        <v>0</v>
      </c>
      <c r="F752" s="2459">
        <v>2.1000000000000001E-2</v>
      </c>
      <c r="G752" s="380">
        <v>1.6E-2</v>
      </c>
      <c r="H752" s="1298">
        <v>0</v>
      </c>
      <c r="I752" s="1359">
        <v>3.85</v>
      </c>
      <c r="J752" s="1359">
        <v>51.87</v>
      </c>
      <c r="K752" s="380">
        <v>16.8</v>
      </c>
      <c r="L752" s="1359">
        <v>0.34599999999999997</v>
      </c>
      <c r="M752" s="1359">
        <v>35.07</v>
      </c>
      <c r="N752" s="1359">
        <v>0</v>
      </c>
      <c r="O752" s="1359">
        <v>0</v>
      </c>
      <c r="P752" s="2393">
        <v>0.252</v>
      </c>
      <c r="Q752" s="589">
        <v>47</v>
      </c>
      <c r="V752" s="44"/>
      <c r="W752" s="44"/>
      <c r="X752" s="789"/>
    </row>
    <row r="753" spans="2:26">
      <c r="B753" s="2305" t="s">
        <v>664</v>
      </c>
      <c r="C753" s="1488" t="s">
        <v>783</v>
      </c>
      <c r="D753" s="590"/>
      <c r="E753" s="2411">
        <v>1.728</v>
      </c>
      <c r="F753" s="1359">
        <v>1.6E-2</v>
      </c>
      <c r="G753" s="1359">
        <v>1.6E-2</v>
      </c>
      <c r="H753" s="1359">
        <v>12</v>
      </c>
      <c r="I753" s="1359">
        <v>18.420000000000002</v>
      </c>
      <c r="J753" s="1359">
        <v>19.11</v>
      </c>
      <c r="K753" s="1359">
        <v>7.468</v>
      </c>
      <c r="L753" s="1359">
        <v>0.216</v>
      </c>
      <c r="M753" s="1359">
        <v>62.94</v>
      </c>
      <c r="N753" s="2401">
        <v>0</v>
      </c>
      <c r="O753" s="1359">
        <v>0</v>
      </c>
      <c r="P753" s="2393">
        <v>2.5999999999999999E-2</v>
      </c>
      <c r="Q753" s="593"/>
      <c r="V753" s="44"/>
      <c r="W753" s="44"/>
      <c r="X753" s="789"/>
    </row>
    <row r="754" spans="2:26">
      <c r="B754" s="2309" t="s">
        <v>853</v>
      </c>
      <c r="C754" s="556" t="s">
        <v>219</v>
      </c>
      <c r="D754" s="561">
        <v>200</v>
      </c>
      <c r="E754" s="2411">
        <v>0.1192</v>
      </c>
      <c r="F754" s="1359">
        <v>0</v>
      </c>
      <c r="G754" s="1359">
        <v>0</v>
      </c>
      <c r="H754" s="1359">
        <v>12</v>
      </c>
      <c r="I754" s="1359">
        <v>39.42</v>
      </c>
      <c r="J754" s="1359">
        <v>3.44</v>
      </c>
      <c r="K754" s="1359">
        <v>1.68</v>
      </c>
      <c r="L754" s="1359">
        <v>0.11</v>
      </c>
      <c r="M754" s="1359">
        <v>0.62</v>
      </c>
      <c r="N754" s="1359">
        <v>0</v>
      </c>
      <c r="O754" s="1359">
        <v>0</v>
      </c>
      <c r="P754" s="2412">
        <v>0</v>
      </c>
      <c r="Q754" s="572">
        <v>80</v>
      </c>
      <c r="V754" s="44"/>
      <c r="W754" s="44"/>
      <c r="X754" s="789"/>
    </row>
    <row r="755" spans="2:26">
      <c r="B755" s="1473" t="s">
        <v>10</v>
      </c>
      <c r="C755" s="556" t="s">
        <v>11</v>
      </c>
      <c r="D755" s="561">
        <v>70</v>
      </c>
      <c r="E755" s="2392">
        <v>0.14000000000000001</v>
      </c>
      <c r="F755" s="380">
        <v>2.5000000000000001E-2</v>
      </c>
      <c r="G755" s="380">
        <v>2.3E-2</v>
      </c>
      <c r="H755" s="1298">
        <v>0</v>
      </c>
      <c r="I755" s="2498">
        <v>110.01300000000001</v>
      </c>
      <c r="J755" s="1359">
        <v>90.3</v>
      </c>
      <c r="K755" s="1359">
        <v>28.7</v>
      </c>
      <c r="L755" s="2393">
        <v>7.0000000000000007E-2</v>
      </c>
      <c r="M755" s="2469">
        <v>52.03</v>
      </c>
      <c r="N755" s="1359">
        <v>0</v>
      </c>
      <c r="O755" s="1359">
        <v>0</v>
      </c>
      <c r="P755" s="1359">
        <v>0</v>
      </c>
      <c r="Q755" s="557">
        <v>11</v>
      </c>
      <c r="V755" s="152"/>
      <c r="W755" s="44"/>
      <c r="X755" s="789"/>
    </row>
    <row r="756" spans="2:26" ht="12.75" customHeight="1">
      <c r="B756" s="1473" t="s">
        <v>10</v>
      </c>
      <c r="C756" s="556" t="s">
        <v>792</v>
      </c>
      <c r="D756" s="551">
        <v>40</v>
      </c>
      <c r="E756" s="2402">
        <v>0</v>
      </c>
      <c r="F756" s="381">
        <v>0.08</v>
      </c>
      <c r="G756" s="381">
        <v>0</v>
      </c>
      <c r="H756" s="1298">
        <v>0</v>
      </c>
      <c r="I756" s="242">
        <v>33.200000000000003</v>
      </c>
      <c r="J756" s="242">
        <v>60.54</v>
      </c>
      <c r="K756" s="242">
        <v>19.68</v>
      </c>
      <c r="L756" s="242">
        <v>0.04</v>
      </c>
      <c r="M756" s="1359">
        <v>57.6</v>
      </c>
      <c r="N756" s="1359">
        <v>1E-3</v>
      </c>
      <c r="O756" s="1359">
        <v>0</v>
      </c>
      <c r="P756" s="2412">
        <v>0</v>
      </c>
      <c r="Q756" s="557">
        <v>12</v>
      </c>
      <c r="V756" s="792"/>
      <c r="W756" s="793"/>
      <c r="X756" s="2310"/>
      <c r="Y756" s="210"/>
      <c r="Z756" s="22"/>
    </row>
    <row r="757" spans="2:26" ht="13.5" customHeight="1" thickBot="1">
      <c r="B757" s="2560" t="s">
        <v>1004</v>
      </c>
      <c r="C757" s="563" t="s">
        <v>1003</v>
      </c>
      <c r="D757" s="574">
        <v>110</v>
      </c>
      <c r="E757" s="1416">
        <v>11</v>
      </c>
      <c r="F757" s="1370">
        <v>2.4199999999999999E-2</v>
      </c>
      <c r="G757" s="1370">
        <v>2.1999999999999999E-2</v>
      </c>
      <c r="H757" s="2457">
        <v>5.5</v>
      </c>
      <c r="I757" s="1370">
        <v>17.600000000000001</v>
      </c>
      <c r="J757" s="1359">
        <v>12.1</v>
      </c>
      <c r="K757" s="1359">
        <v>9.9</v>
      </c>
      <c r="L757" s="2393">
        <v>2.13</v>
      </c>
      <c r="M757" s="1359">
        <v>58.19</v>
      </c>
      <c r="N757" s="1359">
        <v>0.01</v>
      </c>
      <c r="O757" s="1359">
        <v>0</v>
      </c>
      <c r="P757" s="2412">
        <v>0.29699999999999999</v>
      </c>
      <c r="Q757" s="627">
        <v>73</v>
      </c>
      <c r="V757" s="1289"/>
      <c r="W757" s="1289"/>
      <c r="X757" s="1289"/>
      <c r="Y757" s="1029"/>
      <c r="Z757" s="1"/>
    </row>
    <row r="758" spans="2:26">
      <c r="B758" s="565" t="s">
        <v>269</v>
      </c>
      <c r="C758" s="2299"/>
      <c r="D758" s="2316">
        <f>D749+D750+D751+D754+D755+D756+D757+140+40</f>
        <v>1020</v>
      </c>
      <c r="E758" s="575">
        <f t="shared" ref="E758:P758" si="146">SUM(E749:E757)</f>
        <v>40.237200000000001</v>
      </c>
      <c r="F758" s="1353">
        <f t="shared" si="146"/>
        <v>0.4915000000000001</v>
      </c>
      <c r="G758" s="1353">
        <f t="shared" si="146"/>
        <v>0.35790000000000005</v>
      </c>
      <c r="H758" s="1353">
        <f t="shared" si="146"/>
        <v>212.21699999999998</v>
      </c>
      <c r="I758" s="1353">
        <f>SUM(I749:I757)</f>
        <v>319.82499999999999</v>
      </c>
      <c r="J758" s="1353">
        <f t="shared" si="146"/>
        <v>329.65300000000008</v>
      </c>
      <c r="K758" s="1353">
        <f t="shared" si="146"/>
        <v>103.11600000000001</v>
      </c>
      <c r="L758" s="1353">
        <f t="shared" si="146"/>
        <v>6.4750000000000005</v>
      </c>
      <c r="M758" s="1353">
        <f t="shared" si="146"/>
        <v>398.77100000000002</v>
      </c>
      <c r="N758" s="1353">
        <f t="shared" si="146"/>
        <v>3.61E-2</v>
      </c>
      <c r="O758" s="1353">
        <f t="shared" si="146"/>
        <v>2.8840000000000001E-2</v>
      </c>
      <c r="P758" s="1389">
        <f t="shared" si="146"/>
        <v>1.3885999999999998</v>
      </c>
      <c r="Q758" s="1358"/>
      <c r="V758" s="1"/>
      <c r="W758" s="1"/>
      <c r="X758" s="1"/>
      <c r="Y758" s="1"/>
      <c r="Z758" s="1"/>
    </row>
    <row r="759" spans="2:26" ht="12.75" customHeight="1" thickBot="1">
      <c r="B759" s="1343"/>
      <c r="C759" s="2298" t="s">
        <v>12</v>
      </c>
      <c r="D759" s="2291">
        <v>0.35</v>
      </c>
      <c r="E759" s="1422">
        <v>24.5</v>
      </c>
      <c r="F759" s="1423">
        <v>0.49</v>
      </c>
      <c r="G759" s="1424">
        <v>0.56000000000000005</v>
      </c>
      <c r="H759" s="1461">
        <v>315</v>
      </c>
      <c r="I759" s="1423">
        <v>420</v>
      </c>
      <c r="J759" s="1424">
        <v>420</v>
      </c>
      <c r="K759" s="1461">
        <v>105</v>
      </c>
      <c r="L759" s="1423">
        <v>6.3</v>
      </c>
      <c r="M759" s="2445">
        <v>420</v>
      </c>
      <c r="N759" s="1423">
        <v>3.5000000000000003E-2</v>
      </c>
      <c r="O759" s="1424">
        <v>1.7500000000000002E-2</v>
      </c>
      <c r="P759" s="1425">
        <v>1.4</v>
      </c>
      <c r="Q759" s="1358"/>
      <c r="V759" s="44"/>
      <c r="W759" s="44"/>
      <c r="X759" s="789"/>
      <c r="Y759" s="722"/>
      <c r="Z759" s="721"/>
    </row>
    <row r="760" spans="2:26" ht="15.75" thickBot="1">
      <c r="B760" s="237"/>
      <c r="C760" s="1347" t="s">
        <v>943</v>
      </c>
      <c r="D760" s="1348" t="s">
        <v>280</v>
      </c>
      <c r="E760" s="1416">
        <f>(E758*100/E769)-35</f>
        <v>22.48171428571429</v>
      </c>
      <c r="F760" s="1370">
        <f t="shared" ref="F760:O760" si="147">(F758*100/F769)-35</f>
        <v>0.10714285714286831</v>
      </c>
      <c r="G760" s="1370">
        <f t="shared" si="147"/>
        <v>-12.631249999999998</v>
      </c>
      <c r="H760" s="1370">
        <f t="shared" si="147"/>
        <v>-11.420333333333335</v>
      </c>
      <c r="I760" s="1370">
        <f t="shared" si="147"/>
        <v>-8.3479166666666664</v>
      </c>
      <c r="J760" s="1370">
        <f t="shared" si="147"/>
        <v>-7.5289166666666567</v>
      </c>
      <c r="K760" s="1370">
        <f t="shared" si="147"/>
        <v>-0.62799999999999301</v>
      </c>
      <c r="L760" s="1370">
        <f>(L758*100/L769)-35</f>
        <v>0.97222222222222143</v>
      </c>
      <c r="M760" s="1370">
        <f t="shared" si="147"/>
        <v>-1.7690833333333345</v>
      </c>
      <c r="N760" s="1370">
        <f t="shared" si="147"/>
        <v>1.0999999999999943</v>
      </c>
      <c r="O760" s="1370">
        <f t="shared" si="147"/>
        <v>22.679999999999993</v>
      </c>
      <c r="P760" s="1371">
        <f>(P758*100/P769)-35</f>
        <v>-0.28500000000000369</v>
      </c>
      <c r="Q760" s="1358"/>
      <c r="V760" s="44"/>
      <c r="W760" s="222"/>
      <c r="X760" s="789"/>
      <c r="Y760" s="722"/>
      <c r="Z760" s="721"/>
    </row>
    <row r="761" spans="2:26">
      <c r="B761" s="99"/>
      <c r="C761" s="162" t="s">
        <v>324</v>
      </c>
      <c r="D761" s="99"/>
      <c r="E761" s="2422"/>
      <c r="F761" s="1390"/>
      <c r="G761" s="1390"/>
      <c r="H761" s="2423"/>
      <c r="I761" s="2423"/>
      <c r="J761" s="2423"/>
      <c r="K761" s="2462"/>
      <c r="L761" s="2423"/>
      <c r="M761" s="2423"/>
      <c r="N761" s="2423"/>
      <c r="O761" s="2423"/>
      <c r="P761" s="2424"/>
      <c r="Q761" s="1358"/>
      <c r="V761" s="44"/>
      <c r="W761" s="44"/>
      <c r="X761" s="789"/>
      <c r="Y761" s="722"/>
      <c r="Z761" s="721"/>
    </row>
    <row r="762" spans="2:26" ht="13.5" customHeight="1">
      <c r="B762" s="558" t="s">
        <v>18</v>
      </c>
      <c r="C762" s="249" t="s">
        <v>19</v>
      </c>
      <c r="D762" s="561">
        <v>200</v>
      </c>
      <c r="E762" s="2392">
        <v>1.0900000000000001</v>
      </c>
      <c r="F762" s="380">
        <v>0.06</v>
      </c>
      <c r="G762" s="380">
        <v>0.26</v>
      </c>
      <c r="H762" s="1298">
        <v>27.79</v>
      </c>
      <c r="I762" s="1359">
        <v>226.67</v>
      </c>
      <c r="J762" s="1359">
        <v>183.96</v>
      </c>
      <c r="K762" s="380">
        <v>38.159999999999997</v>
      </c>
      <c r="L762" s="1359">
        <v>0.91</v>
      </c>
      <c r="M762" s="1359">
        <v>98.1</v>
      </c>
      <c r="N762" s="1359">
        <v>8.9999999999999998E-4</v>
      </c>
      <c r="O762" s="2401">
        <v>2.2000000000000001E-3</v>
      </c>
      <c r="P762" s="2393">
        <v>4.5999999999999999E-2</v>
      </c>
      <c r="Q762" s="628">
        <v>86</v>
      </c>
      <c r="V762" s="792"/>
      <c r="W762" s="793"/>
      <c r="X762" s="2310"/>
      <c r="Y762" s="210"/>
      <c r="Z762" s="22"/>
    </row>
    <row r="763" spans="2:26" ht="11.25" customHeight="1">
      <c r="B763" s="777" t="s">
        <v>785</v>
      </c>
      <c r="C763" s="556" t="s">
        <v>784</v>
      </c>
      <c r="D763" s="636" t="s">
        <v>928</v>
      </c>
      <c r="E763" s="2392">
        <v>1.105</v>
      </c>
      <c r="F763" s="380">
        <v>2.4799999999999999E-2</v>
      </c>
      <c r="G763" s="380">
        <v>1.2E-2</v>
      </c>
      <c r="H763" s="1384">
        <v>79.804000000000002</v>
      </c>
      <c r="I763" s="1359">
        <v>21.8</v>
      </c>
      <c r="J763" s="1359">
        <v>16.670000000000002</v>
      </c>
      <c r="K763" s="1359">
        <v>7.53</v>
      </c>
      <c r="L763" s="1359">
        <v>0.89700000000000002</v>
      </c>
      <c r="M763" s="1359">
        <v>19.3</v>
      </c>
      <c r="N763" s="1359">
        <v>1.034E-2</v>
      </c>
      <c r="O763" s="1359">
        <v>6.4799999999999996E-3</v>
      </c>
      <c r="P763" s="2393">
        <v>0.34039999999999998</v>
      </c>
      <c r="Q763" s="628">
        <v>38</v>
      </c>
    </row>
    <row r="764" spans="2:26" ht="12.75" customHeight="1" thickBot="1">
      <c r="B764" s="564" t="s">
        <v>10</v>
      </c>
      <c r="C764" s="563" t="s">
        <v>792</v>
      </c>
      <c r="D764" s="574">
        <v>24</v>
      </c>
      <c r="E764" s="2464">
        <v>0</v>
      </c>
      <c r="F764" s="586">
        <v>0.05</v>
      </c>
      <c r="G764" s="2465">
        <v>0</v>
      </c>
      <c r="H764" s="2403">
        <v>0</v>
      </c>
      <c r="I764" s="379">
        <v>19.920000000000002</v>
      </c>
      <c r="J764" s="242">
        <v>46.56</v>
      </c>
      <c r="K764" s="242">
        <v>13.68</v>
      </c>
      <c r="L764" s="1338">
        <v>2.4E-2</v>
      </c>
      <c r="M764" s="242">
        <v>34.56</v>
      </c>
      <c r="N764" s="242">
        <v>5.9999999999999995E-4</v>
      </c>
      <c r="O764" s="1359">
        <v>0</v>
      </c>
      <c r="P764" s="2412">
        <v>0</v>
      </c>
      <c r="Q764" s="627">
        <v>12</v>
      </c>
    </row>
    <row r="765" spans="2:26">
      <c r="B765" s="565" t="s">
        <v>357</v>
      </c>
      <c r="C765" s="2301"/>
      <c r="D765" s="2302">
        <f>D762+D764+90+40</f>
        <v>354</v>
      </c>
      <c r="E765" s="575">
        <f>SUM(E762:E764)</f>
        <v>2.1950000000000003</v>
      </c>
      <c r="F765" s="1353">
        <f t="shared" ref="F765:P765" si="148">SUM(F762:F764)</f>
        <v>0.1348</v>
      </c>
      <c r="G765" s="1353">
        <f t="shared" si="148"/>
        <v>0.27200000000000002</v>
      </c>
      <c r="H765" s="1353">
        <f t="shared" si="148"/>
        <v>107.59399999999999</v>
      </c>
      <c r="I765" s="1353">
        <f>SUM(I762:I764)</f>
        <v>268.39</v>
      </c>
      <c r="J765" s="1353">
        <f t="shared" si="148"/>
        <v>247.19</v>
      </c>
      <c r="K765" s="1353">
        <f t="shared" si="148"/>
        <v>59.37</v>
      </c>
      <c r="L765" s="1353">
        <f t="shared" si="148"/>
        <v>1.831</v>
      </c>
      <c r="M765" s="1353">
        <f t="shared" si="148"/>
        <v>151.95999999999998</v>
      </c>
      <c r="N765" s="1353">
        <f t="shared" si="148"/>
        <v>1.184E-2</v>
      </c>
      <c r="O765" s="1353">
        <f t="shared" si="148"/>
        <v>8.6800000000000002E-3</v>
      </c>
      <c r="P765" s="1405">
        <f t="shared" si="148"/>
        <v>0.38639999999999997</v>
      </c>
      <c r="Q765" s="360"/>
    </row>
    <row r="766" spans="2:26" ht="15.75" thickBot="1">
      <c r="B766" s="1343"/>
      <c r="C766" s="1344" t="s">
        <v>12</v>
      </c>
      <c r="D766" s="2261">
        <v>0.1</v>
      </c>
      <c r="E766" s="1422">
        <v>7</v>
      </c>
      <c r="F766" s="1423">
        <v>0.14000000000000001</v>
      </c>
      <c r="G766" s="1424">
        <v>0.16</v>
      </c>
      <c r="H766" s="1461">
        <v>90</v>
      </c>
      <c r="I766" s="1423">
        <v>120</v>
      </c>
      <c r="J766" s="1424">
        <v>120</v>
      </c>
      <c r="K766" s="1461">
        <v>30</v>
      </c>
      <c r="L766" s="1423">
        <v>1.8</v>
      </c>
      <c r="M766" s="2445">
        <v>120</v>
      </c>
      <c r="N766" s="1423">
        <v>0.01</v>
      </c>
      <c r="O766" s="1424">
        <v>5.0000000000000001E-3</v>
      </c>
      <c r="P766" s="1425">
        <v>0.4</v>
      </c>
      <c r="Q766" s="360"/>
    </row>
    <row r="767" spans="2:26" ht="15.75" thickBot="1">
      <c r="B767" s="237"/>
      <c r="C767" s="1347" t="s">
        <v>943</v>
      </c>
      <c r="D767" s="1348" t="s">
        <v>280</v>
      </c>
      <c r="E767" s="1416">
        <f>(E765*100/E769)-10</f>
        <v>-6.8642857142857139</v>
      </c>
      <c r="F767" s="1370">
        <f t="shared" ref="F767:N767" si="149">(F765*100/F769)-10</f>
        <v>-0.37142857142857011</v>
      </c>
      <c r="G767" s="1370">
        <f t="shared" si="149"/>
        <v>7</v>
      </c>
      <c r="H767" s="1370">
        <f t="shared" si="149"/>
        <v>1.9548888888888882</v>
      </c>
      <c r="I767" s="1370">
        <f t="shared" si="149"/>
        <v>12.365833333333335</v>
      </c>
      <c r="J767" s="1370">
        <f t="shared" si="149"/>
        <v>10.599166666666665</v>
      </c>
      <c r="K767" s="1370">
        <f t="shared" si="149"/>
        <v>9.7899999999999991</v>
      </c>
      <c r="L767" s="1370">
        <f t="shared" si="149"/>
        <v>0.1722222222222225</v>
      </c>
      <c r="M767" s="1370">
        <f t="shared" si="149"/>
        <v>2.6633333333333322</v>
      </c>
      <c r="N767" s="1370">
        <f t="shared" si="149"/>
        <v>1.8399999999999981</v>
      </c>
      <c r="O767" s="1370">
        <f>(O765*100/O769)-10</f>
        <v>7.3599999999999994</v>
      </c>
      <c r="P767" s="1371">
        <f>(P765*100/P769)-10</f>
        <v>-0.34000000000000163</v>
      </c>
      <c r="Q767" s="360"/>
    </row>
    <row r="768" spans="2:26" ht="10.5" customHeight="1" thickBot="1">
      <c r="E768" s="204"/>
      <c r="F768" s="204"/>
      <c r="G768" s="204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</row>
    <row r="769" spans="2:30" ht="15.75" thickBot="1">
      <c r="B769" s="2369" t="s">
        <v>959</v>
      </c>
      <c r="C769" s="2262"/>
      <c r="D769" s="2263">
        <v>1</v>
      </c>
      <c r="E769" s="2407">
        <v>70</v>
      </c>
      <c r="F769" s="2408">
        <v>1.4</v>
      </c>
      <c r="G769" s="2408">
        <v>1.6</v>
      </c>
      <c r="H769" s="2264">
        <v>900</v>
      </c>
      <c r="I769" s="2405">
        <v>1200</v>
      </c>
      <c r="J769" s="2406">
        <v>1200</v>
      </c>
      <c r="K769" s="2406">
        <v>300</v>
      </c>
      <c r="L769" s="2409">
        <v>18</v>
      </c>
      <c r="M769" s="2405">
        <v>1200</v>
      </c>
      <c r="N769" s="2409">
        <v>0.1</v>
      </c>
      <c r="O769" s="2409">
        <v>0.05</v>
      </c>
      <c r="P769" s="2410">
        <v>4</v>
      </c>
      <c r="Q769" s="360"/>
    </row>
    <row r="770" spans="2:30" ht="12.75" customHeight="1" thickBot="1"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360"/>
    </row>
    <row r="771" spans="2:30" ht="12.75" customHeight="1">
      <c r="B771" s="1021"/>
      <c r="C771" s="34" t="s">
        <v>481</v>
      </c>
      <c r="D771" s="35"/>
      <c r="E771" s="145">
        <f>E745+E758</f>
        <v>61.566200000000009</v>
      </c>
      <c r="F771" s="243">
        <f t="shared" ref="F771:P771" si="150">F745+F758</f>
        <v>0.84950000000000014</v>
      </c>
      <c r="G771" s="243">
        <f t="shared" si="150"/>
        <v>0.75840000000000019</v>
      </c>
      <c r="H771" s="243">
        <f t="shared" si="150"/>
        <v>334.04599999999999</v>
      </c>
      <c r="I771" s="243">
        <f t="shared" si="150"/>
        <v>643.10230000000001</v>
      </c>
      <c r="J771" s="243">
        <f t="shared" si="150"/>
        <v>617.47300000000018</v>
      </c>
      <c r="K771" s="243">
        <f t="shared" si="150"/>
        <v>174.93600000000004</v>
      </c>
      <c r="L771" s="243">
        <f t="shared" si="150"/>
        <v>10.551</v>
      </c>
      <c r="M771" s="243">
        <f t="shared" si="150"/>
        <v>707.75199999999995</v>
      </c>
      <c r="N771" s="243">
        <f t="shared" si="150"/>
        <v>6.1839999999999999E-2</v>
      </c>
      <c r="O771" s="243">
        <f t="shared" si="150"/>
        <v>3.9220000000000005E-2</v>
      </c>
      <c r="P771" s="1024">
        <f t="shared" si="150"/>
        <v>2.3735999999999997</v>
      </c>
      <c r="Q771" s="360"/>
    </row>
    <row r="772" spans="2:30">
      <c r="B772" s="513"/>
      <c r="C772" s="1368" t="s">
        <v>12</v>
      </c>
      <c r="D772" s="2261">
        <v>0.6</v>
      </c>
      <c r="E772" s="1355">
        <v>42</v>
      </c>
      <c r="F772" s="1365">
        <v>0.84</v>
      </c>
      <c r="G772" s="1364">
        <v>0.96</v>
      </c>
      <c r="H772" s="1363">
        <v>540</v>
      </c>
      <c r="I772" s="1365">
        <v>720</v>
      </c>
      <c r="J772" s="1364">
        <v>720</v>
      </c>
      <c r="K772" s="1363">
        <v>180</v>
      </c>
      <c r="L772" s="1365">
        <v>10.8</v>
      </c>
      <c r="M772" s="1369">
        <v>720</v>
      </c>
      <c r="N772" s="1365">
        <v>0.06</v>
      </c>
      <c r="O772" s="1364">
        <v>0.03</v>
      </c>
      <c r="P772" s="1366">
        <v>2.4</v>
      </c>
      <c r="Q772" s="360"/>
    </row>
    <row r="773" spans="2:30" ht="12.75" customHeight="1" thickBot="1">
      <c r="B773" s="237"/>
      <c r="C773" s="1347" t="s">
        <v>943</v>
      </c>
      <c r="D773" s="1348" t="s">
        <v>280</v>
      </c>
      <c r="E773" s="1416">
        <f>(E771*100/E769)-60</f>
        <v>27.951714285714303</v>
      </c>
      <c r="F773" s="1370">
        <f t="shared" ref="F773:O773" si="151">(F771*100/F769)-60</f>
        <v>0.67857142857144481</v>
      </c>
      <c r="G773" s="1370">
        <f t="shared" si="151"/>
        <v>-12.599999999999994</v>
      </c>
      <c r="H773" s="1370">
        <f t="shared" si="151"/>
        <v>-22.88377777777778</v>
      </c>
      <c r="I773" s="1370">
        <f t="shared" si="151"/>
        <v>-6.4081416666666655</v>
      </c>
      <c r="J773" s="1370">
        <f t="shared" si="151"/>
        <v>-8.5439166666666537</v>
      </c>
      <c r="K773" s="1370">
        <f t="shared" si="151"/>
        <v>-1.6879999999999953</v>
      </c>
      <c r="L773" s="1370">
        <f t="shared" si="151"/>
        <v>-1.38333333333334</v>
      </c>
      <c r="M773" s="1370">
        <f t="shared" si="151"/>
        <v>-1.0206666666666706</v>
      </c>
      <c r="N773" s="1370">
        <f t="shared" si="151"/>
        <v>1.8399999999999963</v>
      </c>
      <c r="O773" s="1370">
        <f t="shared" si="151"/>
        <v>18.440000000000012</v>
      </c>
      <c r="P773" s="1371">
        <f>(P771*100/P769)-60</f>
        <v>-0.6600000000000108</v>
      </c>
      <c r="Q773" s="360"/>
    </row>
    <row r="774" spans="2:30" ht="13.5" customHeight="1" thickBot="1"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360"/>
    </row>
    <row r="775" spans="2:30" ht="11.25" customHeight="1">
      <c r="B775" s="1021"/>
      <c r="C775" s="34" t="s">
        <v>480</v>
      </c>
      <c r="D775" s="35"/>
      <c r="E775" s="145">
        <f>E758+E765</f>
        <v>42.432200000000002</v>
      </c>
      <c r="F775" s="243">
        <f t="shared" ref="F775:P775" si="152">F758+F765</f>
        <v>0.62630000000000008</v>
      </c>
      <c r="G775" s="243">
        <f t="shared" si="152"/>
        <v>0.62990000000000013</v>
      </c>
      <c r="H775" s="243">
        <f t="shared" si="152"/>
        <v>319.81099999999998</v>
      </c>
      <c r="I775" s="243">
        <f t="shared" si="152"/>
        <v>588.21499999999992</v>
      </c>
      <c r="J775" s="243">
        <f t="shared" si="152"/>
        <v>576.84300000000007</v>
      </c>
      <c r="K775" s="243">
        <f t="shared" si="152"/>
        <v>162.48600000000002</v>
      </c>
      <c r="L775" s="243">
        <f t="shared" si="152"/>
        <v>8.3060000000000009</v>
      </c>
      <c r="M775" s="243">
        <f t="shared" si="152"/>
        <v>550.73099999999999</v>
      </c>
      <c r="N775" s="243">
        <f t="shared" si="152"/>
        <v>4.7939999999999997E-2</v>
      </c>
      <c r="O775" s="243">
        <f t="shared" si="152"/>
        <v>3.7519999999999998E-2</v>
      </c>
      <c r="P775" s="1024">
        <f t="shared" si="152"/>
        <v>1.7749999999999999</v>
      </c>
      <c r="Q775" s="360"/>
    </row>
    <row r="776" spans="2:30" ht="13.5" customHeight="1">
      <c r="B776" s="513"/>
      <c r="C776" s="1368" t="s">
        <v>12</v>
      </c>
      <c r="D776" s="2261">
        <v>0.45</v>
      </c>
      <c r="E776" s="1355">
        <v>31.5</v>
      </c>
      <c r="F776" s="1365">
        <v>0.63</v>
      </c>
      <c r="G776" s="1364">
        <v>0.72</v>
      </c>
      <c r="H776" s="1364">
        <v>405</v>
      </c>
      <c r="I776" s="1365">
        <v>540</v>
      </c>
      <c r="J776" s="1364">
        <v>540</v>
      </c>
      <c r="K776" s="1364">
        <v>135</v>
      </c>
      <c r="L776" s="1365">
        <v>8.1</v>
      </c>
      <c r="M776" s="1365">
        <v>540</v>
      </c>
      <c r="N776" s="1365">
        <v>4.4999999999999998E-2</v>
      </c>
      <c r="O776" s="1364">
        <v>2.2499999999999999E-2</v>
      </c>
      <c r="P776" s="1366">
        <v>1.8</v>
      </c>
      <c r="Q776" s="360"/>
    </row>
    <row r="777" spans="2:30" ht="15.75" thickBot="1">
      <c r="B777" s="237"/>
      <c r="C777" s="1347" t="s">
        <v>943</v>
      </c>
      <c r="D777" s="1348" t="s">
        <v>280</v>
      </c>
      <c r="E777" s="1416">
        <f>(E775*100/E769)-45</f>
        <v>15.617428571428576</v>
      </c>
      <c r="F777" s="1370">
        <f t="shared" ref="F777:O777" si="153">(F775*100/F769)-45</f>
        <v>-0.26428571428570535</v>
      </c>
      <c r="G777" s="1370">
        <f t="shared" si="153"/>
        <v>-5.6312499999999943</v>
      </c>
      <c r="H777" s="1370">
        <f>(H775*100/H769)-45</f>
        <v>-9.4654444444444437</v>
      </c>
      <c r="I777" s="1370">
        <f t="shared" si="153"/>
        <v>4.0179166666666575</v>
      </c>
      <c r="J777" s="1370">
        <f t="shared" si="153"/>
        <v>3.0702500000000086</v>
      </c>
      <c r="K777" s="1370">
        <f t="shared" si="153"/>
        <v>9.1620000000000061</v>
      </c>
      <c r="L777" s="1370">
        <f t="shared" si="153"/>
        <v>1.1444444444444528</v>
      </c>
      <c r="M777" s="1370">
        <f t="shared" si="153"/>
        <v>0.89424999999999955</v>
      </c>
      <c r="N777" s="1370">
        <f t="shared" si="153"/>
        <v>2.9399999999999906</v>
      </c>
      <c r="O777" s="1370">
        <f t="shared" si="153"/>
        <v>30.039999999999992</v>
      </c>
      <c r="P777" s="1371">
        <f>(P775*100/P769)-45</f>
        <v>-0.625</v>
      </c>
      <c r="Q777" s="360"/>
      <c r="V777" s="789"/>
      <c r="W777" s="153"/>
      <c r="X777" s="153"/>
      <c r="Y777" s="153"/>
      <c r="Z777" s="153"/>
      <c r="AA777" s="153"/>
      <c r="AB777" s="153"/>
      <c r="AC777" s="153"/>
      <c r="AD777" s="153"/>
    </row>
    <row r="778" spans="2:30" ht="15.75" thickBot="1"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360"/>
    </row>
    <row r="779" spans="2:30" ht="15.75" thickBot="1">
      <c r="B779" s="1463" t="s">
        <v>741</v>
      </c>
      <c r="C779" s="34"/>
      <c r="D779" s="35"/>
      <c r="E779" s="149">
        <f>E745+E758+E765</f>
        <v>63.761200000000009</v>
      </c>
      <c r="F779" s="109">
        <f t="shared" ref="F779:P779" si="154">F745+F758+F765</f>
        <v>0.98430000000000017</v>
      </c>
      <c r="G779" s="1361">
        <f t="shared" si="154"/>
        <v>1.0304000000000002</v>
      </c>
      <c r="H779" s="1361">
        <f t="shared" si="154"/>
        <v>441.64</v>
      </c>
      <c r="I779" s="1361">
        <f t="shared" si="154"/>
        <v>911.4923</v>
      </c>
      <c r="J779" s="1361">
        <f t="shared" si="154"/>
        <v>864.66300000000024</v>
      </c>
      <c r="K779" s="1361">
        <f t="shared" si="154"/>
        <v>234.30600000000004</v>
      </c>
      <c r="L779" s="1361">
        <f t="shared" si="154"/>
        <v>12.382</v>
      </c>
      <c r="M779" s="1361">
        <f t="shared" si="154"/>
        <v>859.71199999999999</v>
      </c>
      <c r="N779" s="1361">
        <f t="shared" si="154"/>
        <v>7.3679999999999995E-2</v>
      </c>
      <c r="O779" s="1361">
        <f t="shared" si="154"/>
        <v>4.7900000000000005E-2</v>
      </c>
      <c r="P779" s="1409">
        <f t="shared" si="154"/>
        <v>2.76</v>
      </c>
      <c r="Q779" s="360"/>
    </row>
    <row r="780" spans="2:30">
      <c r="B780" s="88"/>
      <c r="C780" s="1354" t="s">
        <v>12</v>
      </c>
      <c r="D780" s="2261">
        <v>0.7</v>
      </c>
      <c r="E780" s="1355">
        <v>49</v>
      </c>
      <c r="F780" s="1365">
        <v>0.98</v>
      </c>
      <c r="G780" s="1364">
        <v>1.1200000000000001</v>
      </c>
      <c r="H780" s="1364">
        <v>630</v>
      </c>
      <c r="I780" s="1365">
        <v>840</v>
      </c>
      <c r="J780" s="1364">
        <v>840</v>
      </c>
      <c r="K780" s="1364">
        <v>210</v>
      </c>
      <c r="L780" s="1365">
        <v>12.6</v>
      </c>
      <c r="M780" s="1365">
        <v>840</v>
      </c>
      <c r="N780" s="1365">
        <v>7.0000000000000007E-2</v>
      </c>
      <c r="O780" s="1364">
        <v>3.5000000000000003E-2</v>
      </c>
      <c r="P780" s="1366">
        <v>2.8</v>
      </c>
    </row>
    <row r="781" spans="2:30" ht="15.75" thickBot="1">
      <c r="B781" s="237"/>
      <c r="C781" s="1347" t="s">
        <v>943</v>
      </c>
      <c r="D781" s="1348" t="s">
        <v>280</v>
      </c>
      <c r="E781" s="1416">
        <f>(E779*100/E769)-70</f>
        <v>21.087428571428589</v>
      </c>
      <c r="F781" s="1370">
        <f t="shared" ref="F781:O781" si="155">(F779*100/F769)-70</f>
        <v>0.30714285714287826</v>
      </c>
      <c r="G781" s="1370">
        <f t="shared" si="155"/>
        <v>-5.5999999999999943</v>
      </c>
      <c r="H781" s="1370">
        <f t="shared" si="155"/>
        <v>-20.928888888888892</v>
      </c>
      <c r="I781" s="1370">
        <f t="shared" si="155"/>
        <v>5.9576916666666619</v>
      </c>
      <c r="J781" s="1370">
        <f>(J779*100/J769)-70</f>
        <v>2.0552500000000151</v>
      </c>
      <c r="K781" s="1370">
        <f t="shared" si="155"/>
        <v>8.1020000000000181</v>
      </c>
      <c r="L781" s="1370">
        <f t="shared" si="155"/>
        <v>-1.2111111111111086</v>
      </c>
      <c r="M781" s="1370">
        <f t="shared" si="155"/>
        <v>1.6426666666666705</v>
      </c>
      <c r="N781" s="1370">
        <f t="shared" si="155"/>
        <v>3.6799999999999926</v>
      </c>
      <c r="O781" s="1370">
        <f t="shared" si="155"/>
        <v>25.800000000000011</v>
      </c>
      <c r="P781" s="1371">
        <f>(P779*100/P769)-70</f>
        <v>-1</v>
      </c>
      <c r="Q781" s="360"/>
    </row>
    <row r="785" spans="2:30">
      <c r="C785" s="1300" t="s">
        <v>755</v>
      </c>
      <c r="D785"/>
      <c r="E785" s="32"/>
      <c r="K785" s="32"/>
      <c r="P785"/>
      <c r="Q785" s="360"/>
    </row>
    <row r="786" spans="2:30">
      <c r="C786" s="171" t="s">
        <v>735</v>
      </c>
      <c r="D786" s="8"/>
      <c r="E786" s="1" t="s">
        <v>736</v>
      </c>
      <c r="K786"/>
      <c r="P786"/>
      <c r="Q786" s="360"/>
    </row>
    <row r="787" spans="2:30">
      <c r="C787" s="1300" t="s">
        <v>694</v>
      </c>
      <c r="D787" s="19" t="s">
        <v>737</v>
      </c>
      <c r="E787"/>
      <c r="P787"/>
      <c r="Q787" s="360"/>
    </row>
    <row r="788" spans="2:30" ht="16.5" thickBot="1">
      <c r="B788" s="43" t="s">
        <v>698</v>
      </c>
      <c r="C788" s="2"/>
      <c r="D788"/>
      <c r="G788" s="658" t="s">
        <v>746</v>
      </c>
      <c r="J788" s="20" t="s">
        <v>0</v>
      </c>
      <c r="K788"/>
      <c r="L788" s="2" t="s">
        <v>317</v>
      </c>
      <c r="M788" s="13"/>
      <c r="N788" s="13"/>
      <c r="O788" s="24"/>
      <c r="Q788" s="360"/>
    </row>
    <row r="789" spans="2:30">
      <c r="B789" s="83" t="s">
        <v>738</v>
      </c>
      <c r="C789" s="58"/>
      <c r="D789" s="602"/>
      <c r="E789" s="1306" t="s">
        <v>701</v>
      </c>
      <c r="F789" s="1307"/>
      <c r="G789" s="1307"/>
      <c r="H789" s="1308"/>
      <c r="I789" s="1309" t="s">
        <v>730</v>
      </c>
      <c r="J789" s="31"/>
      <c r="K789" s="1310"/>
      <c r="L789" s="31"/>
      <c r="M789" s="31"/>
      <c r="N789" s="31"/>
      <c r="O789" s="31"/>
      <c r="P789" s="54"/>
      <c r="Q789" s="360"/>
    </row>
    <row r="790" spans="2:30">
      <c r="B790" s="61"/>
      <c r="C790" s="749" t="s">
        <v>763</v>
      </c>
      <c r="D790" s="605"/>
      <c r="E790" s="1312" t="s">
        <v>705</v>
      </c>
      <c r="F790" s="1313" t="s">
        <v>706</v>
      </c>
      <c r="G790" s="787" t="s">
        <v>707</v>
      </c>
      <c r="H790" s="1314" t="s">
        <v>708</v>
      </c>
      <c r="I790" s="1432" t="s">
        <v>709</v>
      </c>
      <c r="J790" s="1433" t="s">
        <v>710</v>
      </c>
      <c r="K790" s="1434" t="s">
        <v>711</v>
      </c>
      <c r="L790" s="1435" t="s">
        <v>712</v>
      </c>
      <c r="M790" s="1436" t="s">
        <v>713</v>
      </c>
      <c r="N790" s="1025" t="s">
        <v>714</v>
      </c>
      <c r="O790" s="1436" t="s">
        <v>715</v>
      </c>
      <c r="P790" s="1437" t="s">
        <v>716</v>
      </c>
      <c r="Q790" s="360"/>
      <c r="V790" s="783"/>
      <c r="W790" s="850"/>
      <c r="X790" s="1"/>
      <c r="Y790" s="32"/>
      <c r="Z790" s="1"/>
      <c r="AA790" s="1"/>
      <c r="AB790" s="1"/>
      <c r="AC790" s="1"/>
    </row>
    <row r="791" spans="2:30" ht="13.5" customHeight="1" thickBot="1">
      <c r="B791" s="57"/>
      <c r="C791" s="623" t="s">
        <v>484</v>
      </c>
      <c r="D791" s="578"/>
      <c r="E791" s="56"/>
      <c r="F791" s="1378"/>
      <c r="H791" s="1378"/>
      <c r="I791" s="1379" t="s">
        <v>719</v>
      </c>
      <c r="J791" s="119" t="s">
        <v>720</v>
      </c>
      <c r="K791" s="1380" t="s">
        <v>721</v>
      </c>
      <c r="L791" s="1381" t="s">
        <v>722</v>
      </c>
      <c r="M791" s="1380" t="s">
        <v>723</v>
      </c>
      <c r="N791" s="46" t="s">
        <v>724</v>
      </c>
      <c r="O791" s="1382" t="s">
        <v>725</v>
      </c>
      <c r="P791" s="1383" t="s">
        <v>726</v>
      </c>
      <c r="Q791" s="360"/>
      <c r="V791" s="431"/>
      <c r="W791" s="431"/>
      <c r="X791" s="431"/>
      <c r="Y791" s="431"/>
      <c r="Z791" s="431"/>
      <c r="AA791" s="3"/>
      <c r="AB791" s="3"/>
      <c r="AC791" s="3"/>
      <c r="AD791" s="3"/>
    </row>
    <row r="792" spans="2:30" ht="12" customHeight="1">
      <c r="B792" s="2370" t="s">
        <v>963</v>
      </c>
      <c r="C792" s="1288"/>
      <c r="D792" s="746">
        <v>1</v>
      </c>
      <c r="E792" s="442">
        <v>70</v>
      </c>
      <c r="F792" s="59">
        <v>1.4</v>
      </c>
      <c r="G792" s="59">
        <v>1.6</v>
      </c>
      <c r="H792" s="60">
        <v>900</v>
      </c>
      <c r="I792" s="1442">
        <v>1200</v>
      </c>
      <c r="J792" s="1442">
        <v>1200</v>
      </c>
      <c r="K792" s="1442">
        <v>300</v>
      </c>
      <c r="L792" s="1442">
        <v>18</v>
      </c>
      <c r="M792" s="1442">
        <v>1200</v>
      </c>
      <c r="N792" s="1442">
        <v>0.1</v>
      </c>
      <c r="O792" s="1442">
        <v>0.05</v>
      </c>
      <c r="P792" s="1443">
        <v>4</v>
      </c>
      <c r="Q792" s="360"/>
      <c r="V792" s="1"/>
      <c r="W792" s="119"/>
      <c r="X792" s="119"/>
      <c r="Y792" s="2189"/>
      <c r="Z792" s="2189"/>
      <c r="AA792" s="2189"/>
      <c r="AB792" s="46"/>
      <c r="AC792" s="119"/>
      <c r="AD792" s="2189"/>
    </row>
    <row r="793" spans="2:30" ht="11.25" customHeight="1">
      <c r="B793" s="168"/>
      <c r="C793" s="150" t="s">
        <v>145</v>
      </c>
      <c r="D793" s="614"/>
      <c r="E793" s="769"/>
      <c r="F793" s="443"/>
      <c r="G793" s="443"/>
      <c r="H793" s="443"/>
      <c r="I793" s="443"/>
      <c r="J793" s="443"/>
      <c r="K793" s="443"/>
      <c r="L793" s="443"/>
      <c r="M793" s="443"/>
      <c r="N793" s="443"/>
      <c r="O793" s="443"/>
      <c r="P793" s="770"/>
      <c r="Q793" s="360"/>
      <c r="V793" s="724"/>
      <c r="W793" s="795"/>
      <c r="X793" s="795"/>
      <c r="Y793" s="795"/>
      <c r="Z793" s="795"/>
      <c r="AA793" s="795"/>
      <c r="AB793" s="795"/>
      <c r="AC793" s="795"/>
      <c r="AD793" s="795"/>
    </row>
    <row r="794" spans="2:30">
      <c r="B794" s="1455" t="s">
        <v>739</v>
      </c>
      <c r="C794" s="616" t="s">
        <v>475</v>
      </c>
      <c r="D794" s="391">
        <v>0.25</v>
      </c>
      <c r="E794" s="1445">
        <v>17.5</v>
      </c>
      <c r="F794" s="1446">
        <v>0.35</v>
      </c>
      <c r="G794" s="1446">
        <v>0.4</v>
      </c>
      <c r="H794" s="1475">
        <v>225</v>
      </c>
      <c r="I794" s="1446">
        <v>300</v>
      </c>
      <c r="J794" s="1446">
        <v>300</v>
      </c>
      <c r="K794" s="1446">
        <v>75</v>
      </c>
      <c r="L794" s="1446">
        <v>4.5</v>
      </c>
      <c r="M794" s="1446">
        <v>300</v>
      </c>
      <c r="N794" s="1446">
        <v>2.5000000000000001E-2</v>
      </c>
      <c r="O794" s="1446">
        <v>1.2500000000000001E-2</v>
      </c>
      <c r="P794" s="1452">
        <v>1</v>
      </c>
      <c r="Q794" s="360"/>
      <c r="V794" s="725"/>
      <c r="W794" s="725"/>
      <c r="X794" s="725"/>
      <c r="Y794" s="725"/>
      <c r="Z794" s="725"/>
      <c r="AA794" s="725"/>
      <c r="AB794" s="725"/>
      <c r="AC794" s="725"/>
      <c r="AD794" s="725"/>
    </row>
    <row r="795" spans="2:30" ht="15.75" thickBot="1">
      <c r="B795" s="1449"/>
      <c r="C795" s="2201" t="s">
        <v>757</v>
      </c>
      <c r="D795" s="1451"/>
      <c r="E795" s="1551">
        <f>(E470+E522+E577+E631+E685+E745)/6</f>
        <v>18.062833333333334</v>
      </c>
      <c r="F795" s="1518">
        <f t="shared" ref="F795:P795" si="156">(F470+F522+F577+F631+F685+F745)/6</f>
        <v>0.37151666666666672</v>
      </c>
      <c r="G795" s="1518">
        <f t="shared" si="156"/>
        <v>0.42199999999999999</v>
      </c>
      <c r="H795" s="1518">
        <f t="shared" si="156"/>
        <v>235.12499999999997</v>
      </c>
      <c r="I795" s="1518">
        <f t="shared" si="156"/>
        <v>310.23318333333333</v>
      </c>
      <c r="J795" s="1518">
        <f t="shared" si="156"/>
        <v>300.10166666666669</v>
      </c>
      <c r="K795" s="1518">
        <f t="shared" si="156"/>
        <v>79.910499999999999</v>
      </c>
      <c r="L795" s="1518">
        <f t="shared" si="156"/>
        <v>4.4515000000000002</v>
      </c>
      <c r="M795" s="1518">
        <f t="shared" si="156"/>
        <v>307.94650000000001</v>
      </c>
      <c r="N795" s="1518">
        <f t="shared" si="156"/>
        <v>2.5389999999999996E-2</v>
      </c>
      <c r="O795" s="1518">
        <f t="shared" si="156"/>
        <v>1.3479999999999999E-2</v>
      </c>
      <c r="P795" s="1552">
        <f t="shared" si="156"/>
        <v>0.96956666666666669</v>
      </c>
      <c r="Q795" s="360"/>
      <c r="V795" s="2191"/>
      <c r="W795" s="2191"/>
      <c r="X795" s="2191"/>
      <c r="Y795" s="2191"/>
      <c r="Z795" s="2191"/>
      <c r="AA795" s="2191"/>
      <c r="AB795" s="2191"/>
      <c r="AC795" s="2191"/>
      <c r="AD795" s="2191"/>
    </row>
    <row r="796" spans="2:30" ht="15.75" thickBot="1">
      <c r="B796" s="237"/>
      <c r="C796" s="569" t="s">
        <v>727</v>
      </c>
      <c r="D796" s="1356" t="s">
        <v>280</v>
      </c>
      <c r="E796" s="2277">
        <f>(E795*100/E792)-25</f>
        <v>0.80404761904761912</v>
      </c>
      <c r="F796" s="2278">
        <f t="shared" ref="F796:O796" si="157">(F795*100/F792)-25</f>
        <v>1.5369047619047649</v>
      </c>
      <c r="G796" s="2278">
        <f t="shared" si="157"/>
        <v>1.3749999999999964</v>
      </c>
      <c r="H796" s="2278">
        <f t="shared" si="157"/>
        <v>1.1249999999999964</v>
      </c>
      <c r="I796" s="2278">
        <f t="shared" si="157"/>
        <v>0.85276527777777744</v>
      </c>
      <c r="J796" s="2278">
        <f t="shared" si="157"/>
        <v>8.4722222222239907E-3</v>
      </c>
      <c r="K796" s="2278">
        <f t="shared" si="157"/>
        <v>1.6368333333333354</v>
      </c>
      <c r="L796" s="2278">
        <f t="shared" si="157"/>
        <v>-0.26944444444444215</v>
      </c>
      <c r="M796" s="2278">
        <f t="shared" si="157"/>
        <v>0.66220833333333573</v>
      </c>
      <c r="N796" s="2278">
        <f t="shared" si="157"/>
        <v>0.38999999999999702</v>
      </c>
      <c r="O796" s="2278">
        <f t="shared" si="157"/>
        <v>1.9599999999999973</v>
      </c>
      <c r="P796" s="2279">
        <f>(P795*100/P792)-25</f>
        <v>-0.76083333333333414</v>
      </c>
      <c r="Q796" s="360"/>
      <c r="V796" s="2192"/>
      <c r="W796" s="2192"/>
      <c r="X796" s="2192"/>
      <c r="Y796" s="2192"/>
      <c r="Z796" s="2192"/>
      <c r="AA796" s="2192"/>
      <c r="AB796" s="2192"/>
      <c r="AC796" s="2192"/>
      <c r="AD796" s="2192"/>
    </row>
    <row r="797" spans="2:30" ht="15.75" thickBot="1">
      <c r="P797"/>
      <c r="Q797" s="360"/>
      <c r="V797" s="147"/>
      <c r="W797" s="430"/>
      <c r="X797" s="430"/>
      <c r="Y797" s="430"/>
      <c r="Z797" s="430"/>
      <c r="AA797" s="430"/>
      <c r="AB797" s="430"/>
      <c r="AC797" s="430"/>
      <c r="AD797" s="430"/>
    </row>
    <row r="798" spans="2:30">
      <c r="B798" s="83" t="s">
        <v>738</v>
      </c>
      <c r="C798" s="58"/>
      <c r="D798" s="602"/>
      <c r="E798" s="1306" t="s">
        <v>701</v>
      </c>
      <c r="F798" s="1307"/>
      <c r="G798" s="1307"/>
      <c r="H798" s="1308"/>
      <c r="I798" s="1309" t="s">
        <v>730</v>
      </c>
      <c r="J798" s="31"/>
      <c r="K798" s="1310"/>
      <c r="L798" s="31"/>
      <c r="M798" s="31"/>
      <c r="N798" s="31"/>
      <c r="O798" s="31"/>
      <c r="P798" s="54"/>
      <c r="Q798" s="360"/>
    </row>
    <row r="799" spans="2:30">
      <c r="B799" s="61"/>
      <c r="C799" s="749" t="s">
        <v>762</v>
      </c>
      <c r="D799" s="605"/>
      <c r="E799" s="1312" t="s">
        <v>705</v>
      </c>
      <c r="F799" s="1313" t="s">
        <v>706</v>
      </c>
      <c r="G799" s="787" t="s">
        <v>707</v>
      </c>
      <c r="H799" s="1314" t="s">
        <v>708</v>
      </c>
      <c r="I799" s="1432" t="s">
        <v>709</v>
      </c>
      <c r="J799" s="1433" t="s">
        <v>710</v>
      </c>
      <c r="K799" s="1434" t="s">
        <v>711</v>
      </c>
      <c r="L799" s="1435" t="s">
        <v>712</v>
      </c>
      <c r="M799" s="1436" t="s">
        <v>713</v>
      </c>
      <c r="N799" s="1025" t="s">
        <v>714</v>
      </c>
      <c r="O799" s="1436" t="s">
        <v>715</v>
      </c>
      <c r="P799" s="1437" t="s">
        <v>716</v>
      </c>
      <c r="Q799" s="360"/>
      <c r="V799" s="783"/>
      <c r="W799" s="850"/>
      <c r="X799" s="1"/>
      <c r="Y799" s="32"/>
      <c r="Z799" s="1"/>
      <c r="AA799" s="1"/>
      <c r="AB799" s="1"/>
      <c r="AC799" s="1"/>
    </row>
    <row r="800" spans="2:30" ht="12.75" customHeight="1" thickBot="1">
      <c r="B800" s="57"/>
      <c r="C800" s="623" t="s">
        <v>484</v>
      </c>
      <c r="D800" s="578"/>
      <c r="E800" s="56"/>
      <c r="F800" s="1378"/>
      <c r="H800" s="1378"/>
      <c r="I800" s="1379" t="s">
        <v>719</v>
      </c>
      <c r="J800" s="119" t="s">
        <v>720</v>
      </c>
      <c r="K800" s="1380" t="s">
        <v>721</v>
      </c>
      <c r="L800" s="1381" t="s">
        <v>722</v>
      </c>
      <c r="M800" s="1380" t="s">
        <v>723</v>
      </c>
      <c r="N800" s="46" t="s">
        <v>724</v>
      </c>
      <c r="O800" s="1382" t="s">
        <v>725</v>
      </c>
      <c r="P800" s="1383" t="s">
        <v>726</v>
      </c>
      <c r="Q800" s="360"/>
      <c r="V800" s="431"/>
      <c r="W800" s="431"/>
      <c r="X800" s="431"/>
      <c r="Y800" s="431"/>
      <c r="Z800" s="431"/>
      <c r="AA800" s="3"/>
      <c r="AB800" s="3"/>
      <c r="AC800" s="3"/>
      <c r="AD800" s="3"/>
    </row>
    <row r="801" spans="2:30" ht="13.5" customHeight="1">
      <c r="B801" s="2370" t="s">
        <v>963</v>
      </c>
      <c r="C801" s="1288"/>
      <c r="D801" s="746">
        <v>1</v>
      </c>
      <c r="E801" s="442">
        <v>70</v>
      </c>
      <c r="F801" s="59">
        <v>1.4</v>
      </c>
      <c r="G801" s="59">
        <v>1.6</v>
      </c>
      <c r="H801" s="60">
        <v>900</v>
      </c>
      <c r="I801" s="1442">
        <v>1200</v>
      </c>
      <c r="J801" s="1442">
        <v>1200</v>
      </c>
      <c r="K801" s="1442">
        <v>300</v>
      </c>
      <c r="L801" s="1442">
        <v>18</v>
      </c>
      <c r="M801" s="1442">
        <v>1200</v>
      </c>
      <c r="N801" s="1442">
        <v>0.1</v>
      </c>
      <c r="O801" s="1442">
        <v>0.05</v>
      </c>
      <c r="P801" s="1443">
        <v>4</v>
      </c>
      <c r="Q801" s="360"/>
      <c r="V801" s="1"/>
      <c r="W801" s="119"/>
      <c r="X801" s="119"/>
      <c r="Y801" s="2189"/>
      <c r="Z801" s="2189"/>
      <c r="AA801" s="2189"/>
      <c r="AB801" s="46"/>
      <c r="AC801" s="119"/>
      <c r="AD801" s="2189"/>
    </row>
    <row r="802" spans="2:30" ht="12" customHeight="1">
      <c r="B802" s="168"/>
      <c r="C802" s="150" t="s">
        <v>145</v>
      </c>
      <c r="D802" s="614"/>
      <c r="E802" s="769"/>
      <c r="F802" s="443"/>
      <c r="G802" s="443"/>
      <c r="H802" s="443"/>
      <c r="I802" s="443"/>
      <c r="J802" s="443"/>
      <c r="K802" s="443"/>
      <c r="L802" s="443"/>
      <c r="M802" s="443"/>
      <c r="N802" s="443"/>
      <c r="O802" s="443"/>
      <c r="P802" s="770"/>
      <c r="Q802" s="360"/>
      <c r="V802" s="724"/>
      <c r="W802" s="795"/>
      <c r="X802" s="795"/>
      <c r="Y802" s="795"/>
      <c r="Z802" s="795"/>
      <c r="AA802" s="795"/>
      <c r="AB802" s="795"/>
      <c r="AC802" s="795"/>
      <c r="AD802" s="795"/>
    </row>
    <row r="803" spans="2:30">
      <c r="B803" s="1455" t="s">
        <v>739</v>
      </c>
      <c r="C803" s="616" t="s">
        <v>476</v>
      </c>
      <c r="D803" s="391">
        <v>0.35</v>
      </c>
      <c r="E803" s="1445">
        <v>24.5</v>
      </c>
      <c r="F803" s="1446">
        <v>0.49</v>
      </c>
      <c r="G803" s="1446">
        <v>0.56000000000000005</v>
      </c>
      <c r="H803" s="1475">
        <v>315</v>
      </c>
      <c r="I803" s="1446">
        <v>420</v>
      </c>
      <c r="J803" s="1446">
        <v>420</v>
      </c>
      <c r="K803" s="1446">
        <v>105</v>
      </c>
      <c r="L803" s="1446">
        <v>6.3</v>
      </c>
      <c r="M803" s="1446">
        <v>420</v>
      </c>
      <c r="N803" s="1446">
        <v>3.5000000000000003E-2</v>
      </c>
      <c r="O803" s="1446">
        <v>1.7500000000000002E-2</v>
      </c>
      <c r="P803" s="1452">
        <v>1.4</v>
      </c>
      <c r="Q803" s="360"/>
      <c r="V803" s="725"/>
      <c r="W803" s="725"/>
      <c r="X803" s="725"/>
      <c r="Y803" s="725"/>
      <c r="Z803" s="725"/>
      <c r="AA803" s="725"/>
      <c r="AB803" s="725"/>
      <c r="AC803" s="725"/>
      <c r="AD803" s="725"/>
    </row>
    <row r="804" spans="2:30">
      <c r="B804" s="1449"/>
      <c r="C804" s="2201" t="s">
        <v>757</v>
      </c>
      <c r="D804" s="1451"/>
      <c r="E804" s="1551">
        <f>(E481+E534+E588+E644+E697+E758)/6</f>
        <v>27.096733333333333</v>
      </c>
      <c r="F804" s="1518">
        <f t="shared" ref="F804:P804" si="158">(F481+F534+F588+F644+F697+F758)/6</f>
        <v>0.48813333333333336</v>
      </c>
      <c r="G804" s="1518">
        <f t="shared" si="158"/>
        <v>0.50850000000000006</v>
      </c>
      <c r="H804" s="1518">
        <f t="shared" si="158"/>
        <v>296.83549999999997</v>
      </c>
      <c r="I804" s="1518">
        <f t="shared" si="158"/>
        <v>363.36343333333338</v>
      </c>
      <c r="J804" s="1518">
        <f t="shared" si="158"/>
        <v>383.61233333333342</v>
      </c>
      <c r="K804" s="1518">
        <f t="shared" si="158"/>
        <v>104.15899999999999</v>
      </c>
      <c r="L804" s="1518">
        <f t="shared" si="158"/>
        <v>6.3121666666666663</v>
      </c>
      <c r="M804" s="1518">
        <f t="shared" si="158"/>
        <v>393.15350000000007</v>
      </c>
      <c r="N804" s="1518">
        <f t="shared" si="158"/>
        <v>3.5858333333333332E-2</v>
      </c>
      <c r="O804" s="1518">
        <f t="shared" si="158"/>
        <v>1.7390000000000003E-2</v>
      </c>
      <c r="P804" s="1552">
        <f t="shared" si="158"/>
        <v>1.4226666666666665</v>
      </c>
      <c r="Q804" s="360"/>
      <c r="V804" s="2191"/>
      <c r="W804" s="2191"/>
      <c r="X804" s="2191"/>
      <c r="Y804" s="2191"/>
      <c r="Z804" s="2191"/>
      <c r="AA804" s="2191"/>
      <c r="AB804" s="2191"/>
      <c r="AC804" s="2191"/>
      <c r="AD804" s="2191"/>
    </row>
    <row r="805" spans="2:30" ht="15.75" thickBot="1">
      <c r="B805" s="237"/>
      <c r="C805" s="569" t="s">
        <v>727</v>
      </c>
      <c r="D805" s="1356" t="s">
        <v>280</v>
      </c>
      <c r="E805" s="1416">
        <f>(E804*100/E801)-35</f>
        <v>3.7096190476190429</v>
      </c>
      <c r="F805" s="1370">
        <f>(F804*100/F801)-35</f>
        <v>-0.13333333333332575</v>
      </c>
      <c r="G805" s="1370">
        <f t="shared" ref="G805:O805" si="159">(G804*100/G801)-35</f>
        <v>-3.2187499999999964</v>
      </c>
      <c r="H805" s="1370">
        <f t="shared" si="159"/>
        <v>-2.0182777777777829</v>
      </c>
      <c r="I805" s="1370">
        <f t="shared" si="159"/>
        <v>-4.7197138888888865</v>
      </c>
      <c r="J805" s="1370">
        <f t="shared" si="159"/>
        <v>-3.0323055555555456</v>
      </c>
      <c r="K805" s="1370">
        <f t="shared" si="159"/>
        <v>-0.28033333333333132</v>
      </c>
      <c r="L805" s="1370">
        <f t="shared" si="159"/>
        <v>6.759259259258954E-2</v>
      </c>
      <c r="M805" s="1370">
        <f t="shared" si="159"/>
        <v>-2.2372083333333279</v>
      </c>
      <c r="N805" s="1370">
        <f t="shared" si="159"/>
        <v>0.85833333333333428</v>
      </c>
      <c r="O805" s="1370">
        <f t="shared" si="159"/>
        <v>-0.21999999999999886</v>
      </c>
      <c r="P805" s="1371">
        <f>(P804*100/P801)-35</f>
        <v>0.56666666666666288</v>
      </c>
      <c r="Q805" s="360"/>
      <c r="V805" s="2192"/>
      <c r="W805" s="2192"/>
      <c r="X805" s="2192"/>
      <c r="Y805" s="2192"/>
      <c r="Z805" s="2192"/>
      <c r="AA805" s="2192"/>
      <c r="AB805" s="2192"/>
      <c r="AC805" s="2192"/>
      <c r="AD805" s="2192"/>
    </row>
    <row r="806" spans="2:30" ht="15.75" thickBot="1">
      <c r="P806"/>
      <c r="Q806" s="360"/>
      <c r="V806" s="430"/>
      <c r="W806" s="147"/>
      <c r="X806" s="430"/>
      <c r="Y806" s="430"/>
      <c r="Z806" s="430"/>
      <c r="AA806" s="430"/>
      <c r="AB806" s="430"/>
      <c r="AC806" s="1555"/>
      <c r="AD806" s="430"/>
    </row>
    <row r="807" spans="2:30">
      <c r="B807" s="83" t="s">
        <v>738</v>
      </c>
      <c r="C807" s="58"/>
      <c r="D807" s="602"/>
      <c r="E807" s="1306" t="s">
        <v>701</v>
      </c>
      <c r="F807" s="1307"/>
      <c r="G807" s="1307"/>
      <c r="H807" s="1308"/>
      <c r="I807" s="1309" t="s">
        <v>730</v>
      </c>
      <c r="J807" s="31"/>
      <c r="K807" s="1310"/>
      <c r="L807" s="31"/>
      <c r="M807" s="31"/>
      <c r="N807" s="31"/>
      <c r="O807" s="31"/>
      <c r="P807" s="54"/>
      <c r="Q807" s="360"/>
      <c r="V807" s="1"/>
      <c r="W807" s="1"/>
      <c r="X807" s="1"/>
      <c r="Y807" s="1"/>
      <c r="Z807" s="1"/>
      <c r="AA807" s="1"/>
      <c r="AB807" s="1"/>
      <c r="AC807" s="1"/>
    </row>
    <row r="808" spans="2:30">
      <c r="B808" s="61"/>
      <c r="C808" s="749" t="s">
        <v>761</v>
      </c>
      <c r="D808" s="605"/>
      <c r="E808" s="1312" t="s">
        <v>705</v>
      </c>
      <c r="F808" s="1313" t="s">
        <v>706</v>
      </c>
      <c r="G808" s="787" t="s">
        <v>707</v>
      </c>
      <c r="H808" s="1314" t="s">
        <v>708</v>
      </c>
      <c r="I808" s="1432" t="s">
        <v>709</v>
      </c>
      <c r="J808" s="1433" t="s">
        <v>710</v>
      </c>
      <c r="K808" s="1434" t="s">
        <v>711</v>
      </c>
      <c r="L808" s="1435" t="s">
        <v>712</v>
      </c>
      <c r="M808" s="1436" t="s">
        <v>713</v>
      </c>
      <c r="N808" s="1025" t="s">
        <v>714</v>
      </c>
      <c r="O808" s="1436" t="s">
        <v>715</v>
      </c>
      <c r="P808" s="1437" t="s">
        <v>716</v>
      </c>
      <c r="Q808" s="360"/>
      <c r="V808" s="783"/>
      <c r="W808" s="850"/>
      <c r="X808" s="1"/>
      <c r="Y808" s="32"/>
      <c r="Z808" s="1"/>
      <c r="AA808" s="1"/>
      <c r="AB808" s="1"/>
      <c r="AC808" s="1"/>
    </row>
    <row r="809" spans="2:30" ht="13.5" customHeight="1" thickBot="1">
      <c r="B809" s="57"/>
      <c r="C809" s="623" t="s">
        <v>484</v>
      </c>
      <c r="D809" s="578"/>
      <c r="E809" s="56"/>
      <c r="F809" s="1378"/>
      <c r="H809" s="1378"/>
      <c r="I809" s="1379" t="s">
        <v>719</v>
      </c>
      <c r="J809" s="119" t="s">
        <v>720</v>
      </c>
      <c r="K809" s="1380" t="s">
        <v>721</v>
      </c>
      <c r="L809" s="1381" t="s">
        <v>722</v>
      </c>
      <c r="M809" s="1380" t="s">
        <v>723</v>
      </c>
      <c r="N809" s="46" t="s">
        <v>724</v>
      </c>
      <c r="O809" s="1382" t="s">
        <v>725</v>
      </c>
      <c r="P809" s="1383" t="s">
        <v>726</v>
      </c>
      <c r="Q809" s="360"/>
      <c r="V809" s="431"/>
      <c r="W809" s="431"/>
      <c r="X809" s="431"/>
      <c r="Y809" s="431"/>
      <c r="Z809" s="431"/>
      <c r="AA809" s="3"/>
      <c r="AB809" s="3"/>
      <c r="AC809" s="3"/>
      <c r="AD809" s="3"/>
    </row>
    <row r="810" spans="2:30" ht="12" customHeight="1">
      <c r="B810" s="2370" t="s">
        <v>963</v>
      </c>
      <c r="C810" s="1288"/>
      <c r="D810" s="746">
        <v>1</v>
      </c>
      <c r="E810" s="442">
        <v>70</v>
      </c>
      <c r="F810" s="59">
        <v>1.4</v>
      </c>
      <c r="G810" s="59">
        <v>1.6</v>
      </c>
      <c r="H810" s="60">
        <v>900</v>
      </c>
      <c r="I810" s="1442">
        <v>1200</v>
      </c>
      <c r="J810" s="1442">
        <v>1200</v>
      </c>
      <c r="K810" s="1442">
        <v>300</v>
      </c>
      <c r="L810" s="1442">
        <v>18</v>
      </c>
      <c r="M810" s="1442">
        <v>1200</v>
      </c>
      <c r="N810" s="1442">
        <v>0.1</v>
      </c>
      <c r="O810" s="1442">
        <v>0.05</v>
      </c>
      <c r="P810" s="1443">
        <v>4</v>
      </c>
      <c r="Q810" s="360"/>
      <c r="V810" s="1"/>
      <c r="W810" s="119"/>
      <c r="X810" s="119"/>
      <c r="Y810" s="2189"/>
      <c r="Z810" s="2189"/>
      <c r="AA810" s="2189"/>
      <c r="AB810" s="46"/>
      <c r="AC810" s="119"/>
      <c r="AD810" s="2189"/>
    </row>
    <row r="811" spans="2:30" ht="12" customHeight="1">
      <c r="B811" s="168"/>
      <c r="C811" s="150" t="s">
        <v>145</v>
      </c>
      <c r="D811" s="614"/>
      <c r="E811" s="769"/>
      <c r="F811" s="443"/>
      <c r="G811" s="443"/>
      <c r="H811" s="443"/>
      <c r="I811" s="443"/>
      <c r="J811" s="443"/>
      <c r="K811" s="443"/>
      <c r="L811" s="443"/>
      <c r="M811" s="443"/>
      <c r="N811" s="443"/>
      <c r="O811" s="443"/>
      <c r="P811" s="770"/>
      <c r="Q811" s="360"/>
      <c r="V811" s="724"/>
      <c r="W811" s="795"/>
      <c r="X811" s="795"/>
      <c r="Y811" s="795"/>
      <c r="Z811" s="795"/>
      <c r="AA811" s="795"/>
      <c r="AB811" s="795"/>
      <c r="AC811" s="795"/>
      <c r="AD811" s="795"/>
    </row>
    <row r="812" spans="2:30">
      <c r="B812" s="1455" t="s">
        <v>739</v>
      </c>
      <c r="C812" s="616" t="s">
        <v>472</v>
      </c>
      <c r="D812" s="391">
        <v>0.1</v>
      </c>
      <c r="E812" s="1445">
        <v>7</v>
      </c>
      <c r="F812" s="1446">
        <v>0.14000000000000001</v>
      </c>
      <c r="G812" s="1446">
        <v>0.16</v>
      </c>
      <c r="H812" s="1475">
        <v>90</v>
      </c>
      <c r="I812" s="1446">
        <v>120</v>
      </c>
      <c r="J812" s="1446">
        <v>120</v>
      </c>
      <c r="K812" s="1446">
        <v>30</v>
      </c>
      <c r="L812" s="1446">
        <v>1.8</v>
      </c>
      <c r="M812" s="1446">
        <v>120</v>
      </c>
      <c r="N812" s="1446">
        <v>0.01</v>
      </c>
      <c r="O812" s="1446">
        <v>5.0000000000000001E-3</v>
      </c>
      <c r="P812" s="1452">
        <v>0.4</v>
      </c>
      <c r="Q812" s="360"/>
      <c r="V812" s="725"/>
      <c r="W812" s="725"/>
      <c r="X812" s="725"/>
      <c r="Y812" s="725"/>
      <c r="Z812" s="725"/>
      <c r="AA812" s="725"/>
      <c r="AB812" s="725"/>
      <c r="AC812" s="725"/>
      <c r="AD812" s="725"/>
    </row>
    <row r="813" spans="2:30" ht="10.5" customHeight="1" thickBot="1">
      <c r="B813" s="1449"/>
      <c r="C813" s="2201" t="s">
        <v>757</v>
      </c>
      <c r="D813" s="1451"/>
      <c r="E813" s="1551">
        <f>(E487+E541+E595+E651+E704+E765)/6</f>
        <v>5.1122000000000005</v>
      </c>
      <c r="F813" s="1518">
        <f t="shared" ref="F813:P813" si="160">(F487+F541+F595+F651+F704+F765)/6</f>
        <v>0.15463333333333334</v>
      </c>
      <c r="G813" s="1518">
        <f t="shared" si="160"/>
        <v>0.17783333333333337</v>
      </c>
      <c r="H813" s="1518">
        <f t="shared" si="160"/>
        <v>92.284499999999994</v>
      </c>
      <c r="I813" s="1518">
        <f t="shared" si="160"/>
        <v>154.44791333333333</v>
      </c>
      <c r="J813" s="1518">
        <f t="shared" si="160"/>
        <v>147.09633333333332</v>
      </c>
      <c r="K813" s="1518">
        <f t="shared" si="160"/>
        <v>35.347333333333331</v>
      </c>
      <c r="L813" s="1518">
        <f t="shared" si="160"/>
        <v>1.718333333333333</v>
      </c>
      <c r="M813" s="1518">
        <f t="shared" si="160"/>
        <v>141.54766666666669</v>
      </c>
      <c r="N813" s="1518">
        <f t="shared" si="160"/>
        <v>8.9566666666666683E-3</v>
      </c>
      <c r="O813" s="1518">
        <f t="shared" si="160"/>
        <v>6.1966666666666672E-3</v>
      </c>
      <c r="P813" s="1552">
        <f t="shared" si="160"/>
        <v>0.38940000000000002</v>
      </c>
      <c r="Q813" s="360"/>
      <c r="V813" s="2191"/>
      <c r="W813" s="2191"/>
      <c r="X813" s="2191"/>
      <c r="Y813" s="2191"/>
      <c r="Z813" s="2191"/>
      <c r="AA813" s="2191"/>
      <c r="AB813" s="2191"/>
      <c r="AC813" s="2191"/>
      <c r="AD813" s="2191"/>
    </row>
    <row r="814" spans="2:30" ht="15.75" thickBot="1">
      <c r="B814" s="237"/>
      <c r="C814" s="569" t="s">
        <v>727</v>
      </c>
      <c r="D814" s="1356" t="s">
        <v>280</v>
      </c>
      <c r="E814" s="2277">
        <f>(E813*100/E810)-10</f>
        <v>-2.6968571428571426</v>
      </c>
      <c r="F814" s="2278">
        <f>(F813*100/F810)-10</f>
        <v>1.0452380952380977</v>
      </c>
      <c r="G814" s="2278">
        <f t="shared" ref="G814:O814" si="161">(G813*100/G810)-10</f>
        <v>1.1145833333333357</v>
      </c>
      <c r="H814" s="2278">
        <f>(H813*100/H810)-10</f>
        <v>0.25383333333333269</v>
      </c>
      <c r="I814" s="2278">
        <f t="shared" si="161"/>
        <v>2.8706594444444438</v>
      </c>
      <c r="J814" s="2278">
        <f t="shared" si="161"/>
        <v>2.2580277777777766</v>
      </c>
      <c r="K814" s="2278">
        <f t="shared" si="161"/>
        <v>1.7824444444444438</v>
      </c>
      <c r="L814" s="2278">
        <f t="shared" si="161"/>
        <v>-0.45370370370370416</v>
      </c>
      <c r="M814" s="2278">
        <f t="shared" si="161"/>
        <v>1.7956388888888899</v>
      </c>
      <c r="N814" s="2278">
        <f t="shared" si="161"/>
        <v>-1.043333333333333</v>
      </c>
      <c r="O814" s="2278">
        <f t="shared" si="161"/>
        <v>2.3933333333333326</v>
      </c>
      <c r="P814" s="2279">
        <f>(P813*100/P810)-10</f>
        <v>-0.26499999999999879</v>
      </c>
      <c r="Q814" s="360"/>
      <c r="V814" s="2192"/>
      <c r="W814" s="2192"/>
      <c r="X814" s="2192"/>
      <c r="Y814" s="2192"/>
      <c r="Z814" s="2192"/>
      <c r="AA814" s="2192"/>
      <c r="AB814" s="2192"/>
      <c r="AC814" s="2192"/>
      <c r="AD814" s="2192"/>
    </row>
    <row r="815" spans="2:30" ht="15.75" thickBot="1">
      <c r="P815"/>
      <c r="Q815" s="360"/>
      <c r="V815" s="430"/>
      <c r="W815" s="430"/>
      <c r="X815" s="430"/>
      <c r="Y815" s="430"/>
      <c r="Z815" s="430"/>
      <c r="AA815" s="430"/>
      <c r="AB815" s="430"/>
      <c r="AC815" s="430"/>
      <c r="AD815" s="430"/>
    </row>
    <row r="816" spans="2:30">
      <c r="B816" s="83" t="s">
        <v>738</v>
      </c>
      <c r="C816" s="58"/>
      <c r="D816" s="602"/>
      <c r="E816" s="1306" t="s">
        <v>701</v>
      </c>
      <c r="F816" s="1307"/>
      <c r="G816" s="1307"/>
      <c r="H816" s="1308"/>
      <c r="I816" s="1309" t="s">
        <v>730</v>
      </c>
      <c r="J816" s="31"/>
      <c r="K816" s="1310"/>
      <c r="L816" s="31"/>
      <c r="M816" s="31"/>
      <c r="N816" s="31"/>
      <c r="O816" s="31"/>
      <c r="P816" s="54"/>
      <c r="Q816" s="360"/>
      <c r="V816" s="1"/>
      <c r="W816" s="1"/>
      <c r="X816" s="1"/>
      <c r="Y816" s="1"/>
      <c r="Z816" s="1"/>
      <c r="AA816" s="1"/>
      <c r="AB816" s="1"/>
      <c r="AC816" s="1"/>
    </row>
    <row r="817" spans="2:30">
      <c r="B817" s="61"/>
      <c r="C817" s="1453" t="s">
        <v>760</v>
      </c>
      <c r="D817" s="605"/>
      <c r="E817" s="1312" t="s">
        <v>705</v>
      </c>
      <c r="F817" s="1313" t="s">
        <v>706</v>
      </c>
      <c r="G817" s="787" t="s">
        <v>707</v>
      </c>
      <c r="H817" s="1314" t="s">
        <v>708</v>
      </c>
      <c r="I817" s="1432" t="s">
        <v>709</v>
      </c>
      <c r="J817" s="1433" t="s">
        <v>710</v>
      </c>
      <c r="K817" s="1434" t="s">
        <v>711</v>
      </c>
      <c r="L817" s="1435" t="s">
        <v>712</v>
      </c>
      <c r="M817" s="1436" t="s">
        <v>713</v>
      </c>
      <c r="N817" s="1025" t="s">
        <v>714</v>
      </c>
      <c r="O817" s="1436" t="s">
        <v>715</v>
      </c>
      <c r="P817" s="1437" t="s">
        <v>716</v>
      </c>
      <c r="Q817" s="360"/>
      <c r="V817" s="783"/>
      <c r="W817" s="850"/>
      <c r="X817" s="1"/>
      <c r="Y817" s="32"/>
      <c r="Z817" s="1"/>
      <c r="AA817" s="1"/>
      <c r="AB817" s="1"/>
      <c r="AC817" s="1"/>
    </row>
    <row r="818" spans="2:30" ht="15.75" thickBot="1">
      <c r="B818" s="57"/>
      <c r="C818" s="623" t="s">
        <v>484</v>
      </c>
      <c r="D818" s="578"/>
      <c r="E818" s="56"/>
      <c r="F818" s="1378"/>
      <c r="H818" s="1378"/>
      <c r="I818" s="1379" t="s">
        <v>719</v>
      </c>
      <c r="J818" s="119" t="s">
        <v>720</v>
      </c>
      <c r="K818" s="1380" t="s">
        <v>721</v>
      </c>
      <c r="L818" s="1381" t="s">
        <v>722</v>
      </c>
      <c r="M818" s="1380" t="s">
        <v>723</v>
      </c>
      <c r="N818" s="46" t="s">
        <v>724</v>
      </c>
      <c r="O818" s="1382" t="s">
        <v>725</v>
      </c>
      <c r="P818" s="1383" t="s">
        <v>726</v>
      </c>
      <c r="Q818" s="360"/>
      <c r="V818" s="431"/>
      <c r="W818" s="431"/>
      <c r="X818" s="431"/>
      <c r="Y818" s="431"/>
      <c r="Z818" s="431"/>
      <c r="AA818" s="3"/>
      <c r="AB818" s="3"/>
      <c r="AC818" s="3"/>
      <c r="AD818" s="3"/>
    </row>
    <row r="819" spans="2:30">
      <c r="B819" s="2370" t="s">
        <v>963</v>
      </c>
      <c r="C819" s="1288"/>
      <c r="D819" s="746">
        <v>1</v>
      </c>
      <c r="E819" s="442">
        <v>70</v>
      </c>
      <c r="F819" s="59">
        <v>1.4</v>
      </c>
      <c r="G819" s="59">
        <v>1.6</v>
      </c>
      <c r="H819" s="60">
        <v>900</v>
      </c>
      <c r="I819" s="1442">
        <v>1200</v>
      </c>
      <c r="J819" s="1442">
        <v>1200</v>
      </c>
      <c r="K819" s="1442">
        <v>300</v>
      </c>
      <c r="L819" s="1442">
        <v>18</v>
      </c>
      <c r="M819" s="1442">
        <v>1200</v>
      </c>
      <c r="N819" s="1442">
        <v>0.1</v>
      </c>
      <c r="O819" s="1442">
        <v>0.05</v>
      </c>
      <c r="P819" s="1443">
        <v>4</v>
      </c>
      <c r="Q819" s="360"/>
      <c r="V819" s="1"/>
      <c r="W819" s="119"/>
      <c r="X819" s="119"/>
      <c r="Y819" s="2189"/>
      <c r="Z819" s="2189"/>
      <c r="AA819" s="2189"/>
      <c r="AB819" s="46"/>
      <c r="AC819" s="119"/>
      <c r="AD819" s="2189"/>
    </row>
    <row r="820" spans="2:30">
      <c r="B820" s="168"/>
      <c r="C820" s="150" t="s">
        <v>145</v>
      </c>
      <c r="D820" s="614"/>
      <c r="E820" s="769"/>
      <c r="F820" s="443"/>
      <c r="G820" s="443"/>
      <c r="H820" s="443"/>
      <c r="I820" s="443"/>
      <c r="J820" s="443"/>
      <c r="K820" s="443"/>
      <c r="L820" s="443"/>
      <c r="M820" s="443"/>
      <c r="N820" s="443"/>
      <c r="O820" s="443"/>
      <c r="P820" s="770"/>
      <c r="Q820" s="105"/>
      <c r="V820" s="724"/>
      <c r="W820" s="795"/>
      <c r="X820" s="795"/>
      <c r="Y820" s="795"/>
      <c r="Z820" s="795"/>
      <c r="AA820" s="795"/>
      <c r="AB820" s="795"/>
      <c r="AC820" s="795"/>
      <c r="AD820" s="795"/>
    </row>
    <row r="821" spans="2:30">
      <c r="B821" s="1455" t="s">
        <v>739</v>
      </c>
      <c r="C821" s="616" t="s">
        <v>285</v>
      </c>
      <c r="D821" s="391">
        <v>0.6</v>
      </c>
      <c r="E821" s="1445">
        <v>42</v>
      </c>
      <c r="F821" s="1446">
        <v>0.84</v>
      </c>
      <c r="G821" s="1446">
        <v>0.96</v>
      </c>
      <c r="H821" s="1475">
        <v>540</v>
      </c>
      <c r="I821" s="1446">
        <v>720</v>
      </c>
      <c r="J821" s="1446">
        <v>720</v>
      </c>
      <c r="K821" s="1446">
        <v>180</v>
      </c>
      <c r="L821" s="1446">
        <v>10.8</v>
      </c>
      <c r="M821" s="1446">
        <v>720</v>
      </c>
      <c r="N821" s="1446">
        <v>0.06</v>
      </c>
      <c r="O821" s="1446">
        <v>0.03</v>
      </c>
      <c r="P821" s="1452">
        <v>2.4</v>
      </c>
      <c r="Q821" s="105"/>
      <c r="V821" s="725"/>
      <c r="W821" s="725"/>
      <c r="X821" s="725"/>
      <c r="Y821" s="725"/>
      <c r="Z821" s="725"/>
      <c r="AA821" s="725"/>
      <c r="AB821" s="725"/>
      <c r="AC821" s="725"/>
      <c r="AD821" s="725"/>
    </row>
    <row r="822" spans="2:30" ht="15.75" thickBot="1">
      <c r="B822" s="1449"/>
      <c r="C822" s="2201" t="s">
        <v>757</v>
      </c>
      <c r="D822" s="1451"/>
      <c r="E822" s="1551">
        <f>(E492+E547+E601+E656+E710+E771)/6</f>
        <v>45.15956666666667</v>
      </c>
      <c r="F822" s="1518">
        <f t="shared" ref="F822:P822" si="162">(F492+F547+F601+F656+F710+F771)/6</f>
        <v>0.85964999999999991</v>
      </c>
      <c r="G822" s="1518">
        <f t="shared" si="162"/>
        <v>0.93049999999999999</v>
      </c>
      <c r="H822" s="1518">
        <f t="shared" si="162"/>
        <v>531.96049999999991</v>
      </c>
      <c r="I822" s="1518">
        <f t="shared" si="162"/>
        <v>673.5966166666667</v>
      </c>
      <c r="J822" s="1518">
        <f t="shared" si="162"/>
        <v>683.71399999999994</v>
      </c>
      <c r="K822" s="1518">
        <f t="shared" si="162"/>
        <v>184.06949999999998</v>
      </c>
      <c r="L822" s="1518">
        <f t="shared" si="162"/>
        <v>10.763666666666666</v>
      </c>
      <c r="M822" s="1518">
        <f t="shared" si="162"/>
        <v>701.1</v>
      </c>
      <c r="N822" s="1518">
        <f t="shared" si="162"/>
        <v>6.1248333333333328E-2</v>
      </c>
      <c r="O822" s="1518">
        <f t="shared" si="162"/>
        <v>3.0870000000000005E-2</v>
      </c>
      <c r="P822" s="1552">
        <f t="shared" si="162"/>
        <v>2.3922333333333334</v>
      </c>
      <c r="Q822" s="105"/>
      <c r="V822" s="2191"/>
      <c r="W822" s="2191"/>
      <c r="X822" s="2191"/>
      <c r="Y822" s="2191"/>
      <c r="Z822" s="2191"/>
      <c r="AA822" s="2191"/>
      <c r="AB822" s="2191"/>
      <c r="AC822" s="2191"/>
      <c r="AD822" s="2191"/>
    </row>
    <row r="823" spans="2:30" ht="15.75" thickBot="1">
      <c r="B823" s="237"/>
      <c r="C823" s="569" t="s">
        <v>727</v>
      </c>
      <c r="D823" s="1356" t="s">
        <v>280</v>
      </c>
      <c r="E823" s="2277">
        <f>(E822*100/E819)-60</f>
        <v>4.5136666666666656</v>
      </c>
      <c r="F823" s="2278">
        <f t="shared" ref="F823:O823" si="163">(F822*100/F819)-60</f>
        <v>1.4035714285714249</v>
      </c>
      <c r="G823" s="2278">
        <f t="shared" si="163"/>
        <v>-1.8437500000000071</v>
      </c>
      <c r="H823" s="2278">
        <f t="shared" si="163"/>
        <v>-0.89327777777779005</v>
      </c>
      <c r="I823" s="2278">
        <f t="shared" si="163"/>
        <v>-3.8669486111111127</v>
      </c>
      <c r="J823" s="2278">
        <f t="shared" si="163"/>
        <v>-3.0238333333333358</v>
      </c>
      <c r="K823" s="2278">
        <f t="shared" si="163"/>
        <v>1.3564999999999898</v>
      </c>
      <c r="L823" s="2278">
        <f t="shared" si="163"/>
        <v>-0.20185185185185617</v>
      </c>
      <c r="M823" s="2278">
        <f t="shared" si="163"/>
        <v>-1.5750000000000028</v>
      </c>
      <c r="N823" s="2278">
        <f t="shared" si="163"/>
        <v>1.2483333333333277</v>
      </c>
      <c r="O823" s="2278">
        <f t="shared" si="163"/>
        <v>1.7400000000000091</v>
      </c>
      <c r="P823" s="2279">
        <f>(P822*100/P819)-60</f>
        <v>-0.1941666666666606</v>
      </c>
      <c r="Q823" s="105"/>
      <c r="V823" s="2192"/>
      <c r="W823" s="2192"/>
      <c r="X823" s="2192"/>
      <c r="Y823" s="2192"/>
      <c r="Z823" s="2192"/>
      <c r="AA823" s="2192"/>
      <c r="AB823" s="2192"/>
      <c r="AC823" s="2192"/>
      <c r="AD823" s="2192"/>
    </row>
    <row r="824" spans="2:30" ht="15.75" thickBot="1">
      <c r="P824"/>
      <c r="Q824" s="105"/>
      <c r="V824" s="147"/>
      <c r="W824" s="147"/>
      <c r="X824" s="430"/>
      <c r="Y824" s="430"/>
      <c r="Z824" s="430"/>
      <c r="AA824" s="430"/>
      <c r="AB824" s="430"/>
      <c r="AC824" s="430"/>
      <c r="AD824" s="430"/>
    </row>
    <row r="825" spans="2:30">
      <c r="B825" s="83" t="s">
        <v>738</v>
      </c>
      <c r="C825" s="58"/>
      <c r="D825" s="1553"/>
      <c r="E825" s="1306" t="s">
        <v>701</v>
      </c>
      <c r="F825" s="1307"/>
      <c r="G825" s="1307"/>
      <c r="H825" s="1308"/>
      <c r="I825" s="1309" t="s">
        <v>730</v>
      </c>
      <c r="J825" s="31"/>
      <c r="K825" s="1310"/>
      <c r="L825" s="31"/>
      <c r="M825" s="31"/>
      <c r="N825" s="31"/>
      <c r="O825" s="31"/>
      <c r="P825" s="54"/>
      <c r="Q825" s="105"/>
      <c r="V825" s="1"/>
      <c r="W825" s="1"/>
      <c r="X825" s="1"/>
      <c r="Y825" s="1"/>
      <c r="Z825" s="1"/>
      <c r="AA825" s="1"/>
      <c r="AB825" s="1"/>
      <c r="AC825" s="1"/>
    </row>
    <row r="826" spans="2:30">
      <c r="B826" s="61"/>
      <c r="C826" s="1454" t="s">
        <v>759</v>
      </c>
      <c r="D826" s="614"/>
      <c r="E826" s="1312" t="s">
        <v>705</v>
      </c>
      <c r="F826" s="1313" t="s">
        <v>706</v>
      </c>
      <c r="G826" s="787" t="s">
        <v>707</v>
      </c>
      <c r="H826" s="1314" t="s">
        <v>708</v>
      </c>
      <c r="I826" s="1432" t="s">
        <v>709</v>
      </c>
      <c r="J826" s="1433" t="s">
        <v>710</v>
      </c>
      <c r="K826" s="1434" t="s">
        <v>711</v>
      </c>
      <c r="L826" s="1435" t="s">
        <v>712</v>
      </c>
      <c r="M826" s="1436" t="s">
        <v>713</v>
      </c>
      <c r="N826" s="1025" t="s">
        <v>714</v>
      </c>
      <c r="O826" s="1436" t="s">
        <v>715</v>
      </c>
      <c r="P826" s="1437" t="s">
        <v>716</v>
      </c>
      <c r="Q826" s="105"/>
      <c r="V826" s="783"/>
      <c r="W826" s="850"/>
      <c r="X826" s="1"/>
      <c r="Y826" s="32"/>
      <c r="Z826" s="1"/>
      <c r="AA826" s="1"/>
      <c r="AB826" s="1"/>
      <c r="AC826" s="1"/>
    </row>
    <row r="827" spans="2:30" ht="12.75" customHeight="1" thickBot="1">
      <c r="B827" s="57"/>
      <c r="C827" s="623" t="s">
        <v>484</v>
      </c>
      <c r="D827" s="1127"/>
      <c r="E827" s="56"/>
      <c r="F827" s="1378"/>
      <c r="H827" s="1378"/>
      <c r="I827" s="1379" t="s">
        <v>719</v>
      </c>
      <c r="J827" s="119" t="s">
        <v>720</v>
      </c>
      <c r="K827" s="1380" t="s">
        <v>721</v>
      </c>
      <c r="L827" s="1381" t="s">
        <v>722</v>
      </c>
      <c r="M827" s="1380" t="s">
        <v>723</v>
      </c>
      <c r="N827" s="46" t="s">
        <v>724</v>
      </c>
      <c r="O827" s="1382" t="s">
        <v>725</v>
      </c>
      <c r="P827" s="1383" t="s">
        <v>726</v>
      </c>
      <c r="Q827" s="105"/>
      <c r="V827" s="431"/>
      <c r="W827" s="431"/>
      <c r="X827" s="431"/>
      <c r="Y827" s="431"/>
      <c r="Z827" s="431"/>
      <c r="AA827" s="3"/>
      <c r="AB827" s="3"/>
      <c r="AC827" s="3"/>
      <c r="AD827" s="3"/>
    </row>
    <row r="828" spans="2:30" ht="12" customHeight="1">
      <c r="B828" s="2370" t="s">
        <v>963</v>
      </c>
      <c r="C828" s="1288"/>
      <c r="D828" s="746">
        <v>1</v>
      </c>
      <c r="E828" s="442">
        <v>70</v>
      </c>
      <c r="F828" s="59">
        <v>1.4</v>
      </c>
      <c r="G828" s="59">
        <v>1.6</v>
      </c>
      <c r="H828" s="60">
        <v>900</v>
      </c>
      <c r="I828" s="1442">
        <v>1200</v>
      </c>
      <c r="J828" s="1442">
        <v>1200</v>
      </c>
      <c r="K828" s="1442">
        <v>300</v>
      </c>
      <c r="L828" s="1442">
        <v>18</v>
      </c>
      <c r="M828" s="1442">
        <v>1200</v>
      </c>
      <c r="N828" s="1442">
        <v>0.1</v>
      </c>
      <c r="O828" s="1442">
        <v>0.05</v>
      </c>
      <c r="P828" s="1443">
        <v>4</v>
      </c>
      <c r="Q828" s="105"/>
      <c r="V828" s="1"/>
      <c r="W828" s="119"/>
      <c r="X828" s="119"/>
      <c r="Y828" s="2189"/>
      <c r="Z828" s="2189"/>
      <c r="AA828" s="2189"/>
      <c r="AB828" s="46"/>
      <c r="AC828" s="119"/>
      <c r="AD828" s="2189"/>
    </row>
    <row r="829" spans="2:30" ht="12.75" customHeight="1">
      <c r="B829" s="168"/>
      <c r="C829" s="150" t="s">
        <v>145</v>
      </c>
      <c r="D829" s="614"/>
      <c r="E829" s="769"/>
      <c r="F829" s="443"/>
      <c r="G829" s="443"/>
      <c r="H829" s="443"/>
      <c r="I829" s="443"/>
      <c r="J829" s="443"/>
      <c r="K829" s="443"/>
      <c r="L829" s="443"/>
      <c r="M829" s="443"/>
      <c r="N829" s="443"/>
      <c r="O829" s="443"/>
      <c r="P829" s="770"/>
      <c r="Q829" s="105"/>
      <c r="V829" s="724"/>
      <c r="W829" s="795"/>
      <c r="X829" s="795"/>
      <c r="Y829" s="795"/>
      <c r="Z829" s="795"/>
      <c r="AA829" s="795"/>
      <c r="AB829" s="795"/>
      <c r="AC829" s="795"/>
      <c r="AD829" s="795"/>
    </row>
    <row r="830" spans="2:30">
      <c r="B830" s="1455" t="s">
        <v>739</v>
      </c>
      <c r="C830" s="616" t="s">
        <v>473</v>
      </c>
      <c r="D830" s="391">
        <v>0.45</v>
      </c>
      <c r="E830" s="1445">
        <v>31.5</v>
      </c>
      <c r="F830" s="1446">
        <v>0.63</v>
      </c>
      <c r="G830" s="1446">
        <v>0.72</v>
      </c>
      <c r="H830" s="1475">
        <v>405</v>
      </c>
      <c r="I830" s="1446">
        <v>540</v>
      </c>
      <c r="J830" s="1446">
        <v>540</v>
      </c>
      <c r="K830" s="1446">
        <v>135</v>
      </c>
      <c r="L830" s="1446">
        <v>8.1</v>
      </c>
      <c r="M830" s="1446">
        <v>540</v>
      </c>
      <c r="N830" s="1446">
        <v>4.4999999999999998E-2</v>
      </c>
      <c r="O830" s="1446">
        <v>2.2499999999999999E-2</v>
      </c>
      <c r="P830" s="1452">
        <v>1.8</v>
      </c>
      <c r="Q830" s="105"/>
      <c r="V830" s="725"/>
      <c r="W830" s="725"/>
      <c r="X830" s="725"/>
      <c r="Y830" s="725"/>
      <c r="Z830" s="725"/>
      <c r="AA830" s="725"/>
      <c r="AB830" s="725"/>
      <c r="AC830" s="725"/>
      <c r="AD830" s="725"/>
    </row>
    <row r="831" spans="2:30" ht="15.75" thickBot="1">
      <c r="B831" s="1449"/>
      <c r="C831" s="2201" t="s">
        <v>757</v>
      </c>
      <c r="D831" s="1451"/>
      <c r="E831" s="1551">
        <f>(E496+E551+E605+E660+E714+E775)/6</f>
        <v>32.208933333333327</v>
      </c>
      <c r="F831" s="1518">
        <f t="shared" ref="F831:P831" si="164">(F496+F551+F605+F660+F714+F775)/6</f>
        <v>0.64276666666666671</v>
      </c>
      <c r="G831" s="1518">
        <f t="shared" si="164"/>
        <v>0.68633333333333335</v>
      </c>
      <c r="H831" s="1518">
        <f t="shared" si="164"/>
        <v>389.11999999999995</v>
      </c>
      <c r="I831" s="1518">
        <f t="shared" si="164"/>
        <v>517.81134666666674</v>
      </c>
      <c r="J831" s="1518">
        <f t="shared" si="164"/>
        <v>530.70866666666677</v>
      </c>
      <c r="K831" s="1518">
        <f t="shared" si="164"/>
        <v>139.50633333333334</v>
      </c>
      <c r="L831" s="1518">
        <f t="shared" si="164"/>
        <v>8.0305000000000017</v>
      </c>
      <c r="M831" s="1518">
        <f t="shared" si="164"/>
        <v>534.70116666666672</v>
      </c>
      <c r="N831" s="1518">
        <f t="shared" si="164"/>
        <v>4.4814999999999994E-2</v>
      </c>
      <c r="O831" s="1518">
        <f t="shared" si="164"/>
        <v>2.3586666666666662E-2</v>
      </c>
      <c r="P831" s="1552">
        <f t="shared" si="164"/>
        <v>1.8120666666666667</v>
      </c>
      <c r="Q831" s="105"/>
      <c r="V831" s="2191"/>
      <c r="W831" s="2191"/>
      <c r="X831" s="2191"/>
      <c r="Y831" s="2191"/>
      <c r="Z831" s="2191"/>
      <c r="AA831" s="2191"/>
      <c r="AB831" s="2191"/>
      <c r="AC831" s="2191"/>
      <c r="AD831" s="2191"/>
    </row>
    <row r="832" spans="2:30" ht="15.75" thickBot="1">
      <c r="B832" s="237"/>
      <c r="C832" s="569" t="s">
        <v>727</v>
      </c>
      <c r="D832" s="1356" t="s">
        <v>280</v>
      </c>
      <c r="E832" s="2277">
        <f>(E831*100/E828)-45</f>
        <v>1.012761904761895</v>
      </c>
      <c r="F832" s="2278">
        <f t="shared" ref="F832:O832" si="165">(F831*100/F828)-45</f>
        <v>0.91190476190476488</v>
      </c>
      <c r="G832" s="2278">
        <f t="shared" si="165"/>
        <v>-2.1041666666666643</v>
      </c>
      <c r="H832" s="2278">
        <f t="shared" si="165"/>
        <v>-1.7644444444444503</v>
      </c>
      <c r="I832" s="2278">
        <f t="shared" si="165"/>
        <v>-1.849054444444441</v>
      </c>
      <c r="J832" s="2278">
        <f t="shared" si="165"/>
        <v>-0.77427777777776896</v>
      </c>
      <c r="K832" s="2278">
        <f t="shared" si="165"/>
        <v>1.5021111111111196</v>
      </c>
      <c r="L832" s="2278">
        <f t="shared" si="165"/>
        <v>-0.38611111111109864</v>
      </c>
      <c r="M832" s="2278">
        <f t="shared" si="165"/>
        <v>-0.4415694444444398</v>
      </c>
      <c r="N832" s="2278">
        <f t="shared" si="165"/>
        <v>-0.18500000000000938</v>
      </c>
      <c r="O832" s="2278">
        <f t="shared" si="165"/>
        <v>2.1733333333333249</v>
      </c>
      <c r="P832" s="2279">
        <f>(P831*100/P828)-45</f>
        <v>0.30166666666666941</v>
      </c>
      <c r="Q832" s="105"/>
      <c r="V832" s="2192"/>
      <c r="W832" s="2192"/>
      <c r="X832" s="2192"/>
      <c r="Y832" s="2192"/>
      <c r="Z832" s="2192"/>
      <c r="AA832" s="2192"/>
      <c r="AB832" s="2192"/>
      <c r="AC832" s="2192"/>
      <c r="AD832" s="2192"/>
    </row>
    <row r="833" spans="2:30" ht="15.75" thickBot="1">
      <c r="P833"/>
      <c r="Q833" s="105"/>
      <c r="V833" s="430"/>
      <c r="W833" s="147"/>
      <c r="X833" s="430"/>
      <c r="Y833" s="430"/>
      <c r="Z833" s="430"/>
      <c r="AA833" s="430"/>
      <c r="AB833" s="430"/>
      <c r="AC833" s="430"/>
      <c r="AD833" s="430"/>
    </row>
    <row r="834" spans="2:30">
      <c r="B834" s="83" t="s">
        <v>738</v>
      </c>
      <c r="C834" s="58"/>
      <c r="D834" s="1554" t="s">
        <v>479</v>
      </c>
      <c r="E834" s="1306" t="s">
        <v>701</v>
      </c>
      <c r="F834" s="1307"/>
      <c r="G834" s="1307"/>
      <c r="H834" s="1308"/>
      <c r="I834" s="1309" t="s">
        <v>730</v>
      </c>
      <c r="J834" s="31"/>
      <c r="K834" s="1310"/>
      <c r="L834" s="31"/>
      <c r="M834" s="31"/>
      <c r="N834" s="31"/>
      <c r="O834" s="31"/>
      <c r="P834" s="54"/>
      <c r="Q834" s="105"/>
      <c r="V834" s="1"/>
      <c r="W834" s="1"/>
      <c r="X834" s="1"/>
      <c r="Y834" s="1"/>
      <c r="Z834" s="1"/>
      <c r="AA834" s="1"/>
      <c r="AB834" s="1"/>
      <c r="AC834" s="1"/>
    </row>
    <row r="835" spans="2:30">
      <c r="B835" s="1457" t="s">
        <v>758</v>
      </c>
      <c r="C835" s="48"/>
      <c r="D835" s="614"/>
      <c r="E835" s="1312" t="s">
        <v>705</v>
      </c>
      <c r="F835" s="1313" t="s">
        <v>706</v>
      </c>
      <c r="G835" s="787" t="s">
        <v>707</v>
      </c>
      <c r="H835" s="1314" t="s">
        <v>708</v>
      </c>
      <c r="I835" s="1432" t="s">
        <v>709</v>
      </c>
      <c r="J835" s="1433" t="s">
        <v>710</v>
      </c>
      <c r="K835" s="1434" t="s">
        <v>711</v>
      </c>
      <c r="L835" s="1435" t="s">
        <v>712</v>
      </c>
      <c r="M835" s="1436" t="s">
        <v>713</v>
      </c>
      <c r="N835" s="1025" t="s">
        <v>714</v>
      </c>
      <c r="O835" s="1436" t="s">
        <v>715</v>
      </c>
      <c r="P835" s="1437" t="s">
        <v>716</v>
      </c>
      <c r="Q835" s="105"/>
      <c r="V835" s="783"/>
      <c r="W835" s="850"/>
      <c r="X835" s="1"/>
      <c r="Y835" s="32"/>
      <c r="Z835" s="1"/>
      <c r="AA835" s="1"/>
      <c r="AB835" s="1"/>
      <c r="AC835" s="1"/>
    </row>
    <row r="836" spans="2:30" ht="12.75" customHeight="1" thickBot="1">
      <c r="B836" s="57"/>
      <c r="C836" s="623" t="s">
        <v>484</v>
      </c>
      <c r="D836" s="1127"/>
      <c r="E836" s="56"/>
      <c r="F836" s="1378"/>
      <c r="H836" s="1378"/>
      <c r="I836" s="1379" t="s">
        <v>719</v>
      </c>
      <c r="J836" s="119" t="s">
        <v>720</v>
      </c>
      <c r="K836" s="1380" t="s">
        <v>721</v>
      </c>
      <c r="L836" s="1381" t="s">
        <v>722</v>
      </c>
      <c r="M836" s="1380" t="s">
        <v>723</v>
      </c>
      <c r="N836" s="46" t="s">
        <v>724</v>
      </c>
      <c r="O836" s="1382" t="s">
        <v>725</v>
      </c>
      <c r="P836" s="1383" t="s">
        <v>726</v>
      </c>
      <c r="Q836" s="105"/>
      <c r="V836" s="431"/>
      <c r="W836" s="431"/>
      <c r="X836" s="431"/>
      <c r="Y836" s="431"/>
      <c r="Z836" s="431"/>
      <c r="AA836" s="3"/>
      <c r="AB836" s="3"/>
      <c r="AC836" s="3"/>
      <c r="AD836" s="3"/>
    </row>
    <row r="837" spans="2:30" ht="13.5" customHeight="1">
      <c r="B837" s="2370" t="s">
        <v>963</v>
      </c>
      <c r="C837" s="1007"/>
      <c r="D837" s="1008">
        <v>1</v>
      </c>
      <c r="E837" s="442">
        <v>70</v>
      </c>
      <c r="F837" s="59">
        <v>1.4</v>
      </c>
      <c r="G837" s="59">
        <v>1.6</v>
      </c>
      <c r="H837" s="60">
        <v>900</v>
      </c>
      <c r="I837" s="1442">
        <v>1200</v>
      </c>
      <c r="J837" s="1442">
        <v>1200</v>
      </c>
      <c r="K837" s="1442">
        <v>300</v>
      </c>
      <c r="L837" s="1442">
        <v>18</v>
      </c>
      <c r="M837" s="1442">
        <v>1200</v>
      </c>
      <c r="N837" s="1442">
        <v>0.1</v>
      </c>
      <c r="O837" s="1442">
        <v>0.05</v>
      </c>
      <c r="P837" s="1443">
        <v>4</v>
      </c>
      <c r="Q837" s="105"/>
      <c r="V837" s="1"/>
      <c r="W837" s="119"/>
      <c r="X837" s="119"/>
      <c r="Y837" s="2189"/>
      <c r="Z837" s="2189"/>
      <c r="AA837" s="2189"/>
      <c r="AB837" s="46"/>
      <c r="AC837" s="119"/>
      <c r="AD837" s="2189"/>
    </row>
    <row r="838" spans="2:30" ht="12" customHeight="1">
      <c r="B838" s="168"/>
      <c r="C838" s="150" t="s">
        <v>145</v>
      </c>
      <c r="D838" s="614"/>
      <c r="E838" s="769"/>
      <c r="F838" s="443"/>
      <c r="G838" s="443"/>
      <c r="H838" s="443"/>
      <c r="I838" s="443"/>
      <c r="J838" s="443"/>
      <c r="K838" s="443"/>
      <c r="L838" s="443"/>
      <c r="M838" s="443"/>
      <c r="N838" s="443"/>
      <c r="O838" s="443"/>
      <c r="P838" s="770"/>
      <c r="Q838" s="105"/>
      <c r="V838" s="724"/>
      <c r="W838" s="795"/>
      <c r="X838" s="795"/>
      <c r="Y838" s="795"/>
      <c r="Z838" s="795"/>
      <c r="AA838" s="795"/>
      <c r="AB838" s="795"/>
      <c r="AC838" s="795"/>
      <c r="AD838" s="795"/>
    </row>
    <row r="839" spans="2:30">
      <c r="B839" s="1455" t="s">
        <v>739</v>
      </c>
      <c r="C839" s="1011" t="s">
        <v>474</v>
      </c>
      <c r="D839" s="1012">
        <v>0.7</v>
      </c>
      <c r="E839" s="1476">
        <v>49</v>
      </c>
      <c r="F839" s="1458">
        <v>0.98</v>
      </c>
      <c r="G839" s="1458">
        <v>1.1200000000000001</v>
      </c>
      <c r="H839" s="1477">
        <v>630</v>
      </c>
      <c r="I839" s="1458">
        <v>840</v>
      </c>
      <c r="J839" s="1458">
        <v>840</v>
      </c>
      <c r="K839" s="1458">
        <v>210</v>
      </c>
      <c r="L839" s="1458">
        <v>12.6</v>
      </c>
      <c r="M839" s="1458">
        <v>840</v>
      </c>
      <c r="N839" s="1458">
        <v>7.0000000000000007E-2</v>
      </c>
      <c r="O839" s="1458">
        <v>3.5000000000000003E-2</v>
      </c>
      <c r="P839" s="1478">
        <v>2.8</v>
      </c>
      <c r="Q839" s="105"/>
      <c r="V839" s="725"/>
      <c r="W839" s="725"/>
      <c r="X839" s="725"/>
      <c r="Y839" s="725"/>
      <c r="Z839" s="725"/>
      <c r="AA839" s="725"/>
      <c r="AB839" s="725"/>
      <c r="AC839" s="725"/>
      <c r="AD839" s="725"/>
    </row>
    <row r="840" spans="2:30" ht="15.75" thickBot="1">
      <c r="B840" s="1449"/>
      <c r="C840" s="621" t="s">
        <v>757</v>
      </c>
      <c r="D840" s="1451"/>
      <c r="E840" s="1551">
        <f t="shared" ref="E840:P840" si="166">(E500+E555+E609+E664+E718+E779)/6</f>
        <v>50.271766666666679</v>
      </c>
      <c r="F840" s="1518">
        <f t="shared" si="166"/>
        <v>1.0142833333333334</v>
      </c>
      <c r="G840" s="1518">
        <f t="shared" si="166"/>
        <v>1.1083333333333334</v>
      </c>
      <c r="H840" s="1518">
        <f t="shared" si="166"/>
        <v>624.24499999999989</v>
      </c>
      <c r="I840" s="1518">
        <f t="shared" si="166"/>
        <v>828.04453000000001</v>
      </c>
      <c r="J840" s="1518">
        <f t="shared" si="166"/>
        <v>830.81033333333335</v>
      </c>
      <c r="K840" s="1518">
        <f t="shared" si="166"/>
        <v>219.41683333333333</v>
      </c>
      <c r="L840" s="1518">
        <f t="shared" si="166"/>
        <v>12.481999999999999</v>
      </c>
      <c r="M840" s="1518">
        <f t="shared" si="166"/>
        <v>842.64766666666674</v>
      </c>
      <c r="N840" s="1518">
        <f t="shared" si="166"/>
        <v>7.0205000000000004E-2</v>
      </c>
      <c r="O840" s="1518">
        <f t="shared" si="166"/>
        <v>3.7066666666666671E-2</v>
      </c>
      <c r="P840" s="1552">
        <f t="shared" si="166"/>
        <v>2.7816333333333332</v>
      </c>
      <c r="Q840" s="105"/>
      <c r="V840" s="2191"/>
      <c r="W840" s="2191"/>
      <c r="X840" s="2191"/>
      <c r="Y840" s="2191"/>
      <c r="Z840" s="2191"/>
      <c r="AA840" s="2191"/>
      <c r="AB840" s="2191"/>
      <c r="AC840" s="2191"/>
      <c r="AD840" s="2191"/>
    </row>
    <row r="841" spans="2:30" ht="15.75" thickBot="1">
      <c r="B841" s="237"/>
      <c r="C841" s="1347" t="s">
        <v>727</v>
      </c>
      <c r="D841" s="1356" t="s">
        <v>280</v>
      </c>
      <c r="E841" s="2277">
        <f>(E840*100/E837)-70</f>
        <v>1.816809523809539</v>
      </c>
      <c r="F841" s="2278">
        <f t="shared" ref="F841:O841" si="167">(F840*100/F837)-70</f>
        <v>2.4488095238095298</v>
      </c>
      <c r="G841" s="2278">
        <f t="shared" si="167"/>
        <v>-0.7291666666666714</v>
      </c>
      <c r="H841" s="2278">
        <f t="shared" si="167"/>
        <v>-0.63944444444446447</v>
      </c>
      <c r="I841" s="2278">
        <f t="shared" si="167"/>
        <v>-0.99628916666667067</v>
      </c>
      <c r="J841" s="2278">
        <f>(J840*100/J837)-70</f>
        <v>-0.76580555555554497</v>
      </c>
      <c r="K841" s="2278">
        <f t="shared" si="167"/>
        <v>3.1389444444444479</v>
      </c>
      <c r="L841" s="2278">
        <f t="shared" si="167"/>
        <v>-0.65555555555556566</v>
      </c>
      <c r="M841" s="2278">
        <f t="shared" si="167"/>
        <v>0.22063888888889949</v>
      </c>
      <c r="N841" s="2278">
        <f t="shared" si="167"/>
        <v>0.20499999999999829</v>
      </c>
      <c r="O841" s="2278">
        <f t="shared" si="167"/>
        <v>4.13333333333334</v>
      </c>
      <c r="P841" s="2279">
        <f>(P840*100/P837)-70</f>
        <v>-0.45916666666667538</v>
      </c>
      <c r="Q841" s="105"/>
      <c r="V841" s="2192"/>
      <c r="W841" s="2192"/>
      <c r="X841" s="2192"/>
      <c r="Y841" s="2192"/>
      <c r="Z841" s="2192"/>
      <c r="AA841" s="2192"/>
      <c r="AB841" s="2192"/>
      <c r="AC841" s="2192"/>
      <c r="AD841" s="2192"/>
    </row>
    <row r="842" spans="2:30">
      <c r="P842"/>
      <c r="Q842" s="105"/>
      <c r="V842" s="430"/>
      <c r="W842" s="147"/>
      <c r="X842" s="430"/>
      <c r="Y842" s="430"/>
      <c r="Z842" s="430"/>
      <c r="AA842" s="430"/>
      <c r="AB842" s="430"/>
      <c r="AC842" s="430"/>
      <c r="AD842" s="430"/>
    </row>
    <row r="843" spans="2:30">
      <c r="C843" s="1300" t="s">
        <v>695</v>
      </c>
      <c r="D843"/>
      <c r="E843" s="32"/>
      <c r="P843"/>
      <c r="Q843" s="105"/>
    </row>
    <row r="844" spans="2:30">
      <c r="C844" s="1300" t="s">
        <v>755</v>
      </c>
      <c r="D844"/>
      <c r="E844" s="32"/>
      <c r="K844" s="32"/>
      <c r="P844"/>
      <c r="Q844" s="105"/>
    </row>
    <row r="845" spans="2:30">
      <c r="C845" s="171" t="s">
        <v>735</v>
      </c>
      <c r="D845" s="8"/>
      <c r="E845" s="1" t="s">
        <v>736</v>
      </c>
      <c r="K845"/>
      <c r="P845"/>
      <c r="Q845" s="105"/>
    </row>
    <row r="846" spans="2:30">
      <c r="C846" s="1300" t="s">
        <v>694</v>
      </c>
      <c r="D846" s="19" t="s">
        <v>737</v>
      </c>
      <c r="E846"/>
      <c r="P846"/>
      <c r="Q846" s="105"/>
    </row>
    <row r="847" spans="2:30" ht="16.5" thickBot="1">
      <c r="C847" s="2" t="s">
        <v>747</v>
      </c>
      <c r="D847"/>
      <c r="F847" s="658" t="s">
        <v>748</v>
      </c>
      <c r="J847" s="20" t="s">
        <v>0</v>
      </c>
      <c r="K847"/>
      <c r="L847" s="2" t="s">
        <v>317</v>
      </c>
      <c r="M847" s="13"/>
      <c r="N847" s="13"/>
      <c r="O847" s="24"/>
      <c r="Q847" s="105"/>
    </row>
    <row r="848" spans="2:30">
      <c r="B848" s="83" t="s">
        <v>738</v>
      </c>
      <c r="C848" s="58"/>
      <c r="D848" s="1553"/>
      <c r="E848" s="1306" t="s">
        <v>701</v>
      </c>
      <c r="F848" s="1307"/>
      <c r="G848" s="1307"/>
      <c r="H848" s="1308"/>
      <c r="I848" s="1309" t="s">
        <v>730</v>
      </c>
      <c r="J848" s="31"/>
      <c r="K848" s="1310"/>
      <c r="L848" s="31"/>
      <c r="M848" s="31"/>
      <c r="N848" s="31"/>
      <c r="O848" s="31"/>
      <c r="P848" s="54"/>
      <c r="Q848" s="105"/>
    </row>
    <row r="849" spans="2:17">
      <c r="B849" s="61"/>
      <c r="C849" s="749" t="s">
        <v>763</v>
      </c>
      <c r="D849" s="614"/>
      <c r="E849" s="1312" t="s">
        <v>705</v>
      </c>
      <c r="F849" s="1313" t="s">
        <v>706</v>
      </c>
      <c r="G849" s="787" t="s">
        <v>707</v>
      </c>
      <c r="H849" s="1314" t="s">
        <v>708</v>
      </c>
      <c r="I849" s="1432" t="s">
        <v>709</v>
      </c>
      <c r="J849" s="1433" t="s">
        <v>710</v>
      </c>
      <c r="K849" s="1434" t="s">
        <v>711</v>
      </c>
      <c r="L849" s="1435" t="s">
        <v>712</v>
      </c>
      <c r="M849" s="1436" t="s">
        <v>713</v>
      </c>
      <c r="N849" s="1025" t="s">
        <v>714</v>
      </c>
      <c r="O849" s="1436" t="s">
        <v>715</v>
      </c>
      <c r="P849" s="1437" t="s">
        <v>716</v>
      </c>
      <c r="Q849" s="105"/>
    </row>
    <row r="850" spans="2:17" ht="16.5" thickBot="1">
      <c r="B850" s="57"/>
      <c r="C850" s="803"/>
      <c r="D850" s="1127"/>
      <c r="E850" s="56"/>
      <c r="F850" s="1378"/>
      <c r="H850" s="1378"/>
      <c r="I850" s="1379" t="s">
        <v>719</v>
      </c>
      <c r="J850" s="119" t="s">
        <v>720</v>
      </c>
      <c r="K850" s="1380" t="s">
        <v>721</v>
      </c>
      <c r="L850" s="1381" t="s">
        <v>722</v>
      </c>
      <c r="M850" s="1380" t="s">
        <v>723</v>
      </c>
      <c r="N850" s="46" t="s">
        <v>724</v>
      </c>
      <c r="O850" s="1382" t="s">
        <v>725</v>
      </c>
      <c r="P850" s="1383" t="s">
        <v>726</v>
      </c>
      <c r="Q850" s="105"/>
    </row>
    <row r="851" spans="2:17" ht="13.5" customHeight="1">
      <c r="B851" s="2370" t="s">
        <v>963</v>
      </c>
      <c r="C851" s="1288"/>
      <c r="D851" s="746">
        <v>1</v>
      </c>
      <c r="E851" s="442">
        <v>70</v>
      </c>
      <c r="F851" s="59">
        <v>1.4</v>
      </c>
      <c r="G851" s="59">
        <v>1.6</v>
      </c>
      <c r="H851" s="60">
        <v>900</v>
      </c>
      <c r="I851" s="1442">
        <v>1200</v>
      </c>
      <c r="J851" s="1442">
        <v>1200</v>
      </c>
      <c r="K851" s="1442">
        <v>300</v>
      </c>
      <c r="L851" s="1442">
        <v>18</v>
      </c>
      <c r="M851" s="1442">
        <v>1200</v>
      </c>
      <c r="N851" s="1442">
        <v>0.1</v>
      </c>
      <c r="O851" s="1442">
        <v>0.05</v>
      </c>
      <c r="P851" s="1443">
        <v>4</v>
      </c>
      <c r="Q851" s="105"/>
    </row>
    <row r="852" spans="2:17" ht="10.5" customHeight="1">
      <c r="B852" s="168"/>
      <c r="C852" s="150" t="s">
        <v>145</v>
      </c>
      <c r="D852" s="614"/>
      <c r="E852" s="769"/>
      <c r="F852" s="443"/>
      <c r="G852" s="443"/>
      <c r="H852" s="443"/>
      <c r="I852" s="443"/>
      <c r="J852" s="443"/>
      <c r="K852" s="443"/>
      <c r="L852" s="443"/>
      <c r="M852" s="443"/>
      <c r="N852" s="443"/>
      <c r="O852" s="443"/>
      <c r="P852" s="770"/>
      <c r="Q852" s="105"/>
    </row>
    <row r="853" spans="2:17">
      <c r="B853" s="1455" t="s">
        <v>739</v>
      </c>
      <c r="C853" s="616" t="s">
        <v>475</v>
      </c>
      <c r="D853" s="391">
        <v>0.25</v>
      </c>
      <c r="E853" s="1445">
        <v>17.5</v>
      </c>
      <c r="F853" s="1446">
        <v>0.35</v>
      </c>
      <c r="G853" s="1446">
        <v>0.4</v>
      </c>
      <c r="H853" s="1475">
        <v>225</v>
      </c>
      <c r="I853" s="1446">
        <v>300</v>
      </c>
      <c r="J853" s="1446">
        <v>300</v>
      </c>
      <c r="K853" s="1446">
        <v>75</v>
      </c>
      <c r="L853" s="1446">
        <v>4.5</v>
      </c>
      <c r="M853" s="1446">
        <v>300</v>
      </c>
      <c r="N853" s="1446">
        <v>2.5000000000000001E-2</v>
      </c>
      <c r="O853" s="1446">
        <v>1.2500000000000001E-2</v>
      </c>
      <c r="P853" s="1452">
        <v>1</v>
      </c>
      <c r="Q853" s="105"/>
    </row>
    <row r="854" spans="2:17" ht="15.75" thickBot="1">
      <c r="B854" s="1449"/>
      <c r="C854" s="1450" t="s">
        <v>756</v>
      </c>
      <c r="D854" s="1451"/>
      <c r="E854" s="1551">
        <f>(E77+E132+E186+E241+E291+E348+E470+E522+E577+E631+E685+E745)/12</f>
        <v>17.120500000000003</v>
      </c>
      <c r="F854" s="1518">
        <f t="shared" ref="F854:P854" si="168">(F77+F132+F186+F241+F291+F348+F470+F522+F577+F631+F685+F745)/12</f>
        <v>0.35159166666666669</v>
      </c>
      <c r="G854" s="1518">
        <f t="shared" si="168"/>
        <v>0.4039166666666667</v>
      </c>
      <c r="H854" s="1518">
        <f t="shared" si="168"/>
        <v>225.86916666666664</v>
      </c>
      <c r="I854" s="1518">
        <f t="shared" si="168"/>
        <v>297.33490833333332</v>
      </c>
      <c r="J854" s="1518">
        <f t="shared" si="168"/>
        <v>296.13558333333339</v>
      </c>
      <c r="K854" s="1518">
        <f t="shared" si="168"/>
        <v>75.477833333333351</v>
      </c>
      <c r="L854" s="1518">
        <f t="shared" si="168"/>
        <v>4.4633333333333338</v>
      </c>
      <c r="M854" s="1518">
        <f t="shared" si="168"/>
        <v>300.39724999999999</v>
      </c>
      <c r="N854" s="1518">
        <f t="shared" si="168"/>
        <v>2.5169999999999998E-2</v>
      </c>
      <c r="O854" s="1518">
        <f t="shared" si="168"/>
        <v>1.4885833333333334E-2</v>
      </c>
      <c r="P854" s="1552">
        <f t="shared" si="168"/>
        <v>0.99461666666666659</v>
      </c>
      <c r="Q854" s="105"/>
    </row>
    <row r="855" spans="2:17" ht="15.75" thickBot="1">
      <c r="B855" s="237"/>
      <c r="C855" s="1347" t="s">
        <v>727</v>
      </c>
      <c r="D855" s="1356" t="s">
        <v>280</v>
      </c>
      <c r="E855" s="2277">
        <f>(E854*100/E851)-25</f>
        <v>-0.54214285714285282</v>
      </c>
      <c r="F855" s="2278">
        <f t="shared" ref="F855:O855" si="169">(F854*100/F851)-25</f>
        <v>0.11369047619048089</v>
      </c>
      <c r="G855" s="2278">
        <f t="shared" si="169"/>
        <v>0.24479166666666785</v>
      </c>
      <c r="H855" s="2278">
        <f t="shared" si="169"/>
        <v>9.6574074074069927E-2</v>
      </c>
      <c r="I855" s="2278">
        <f t="shared" si="169"/>
        <v>-0.2220909722222224</v>
      </c>
      <c r="J855" s="2278">
        <f t="shared" si="169"/>
        <v>-0.32203472222221663</v>
      </c>
      <c r="K855" s="2278">
        <f t="shared" si="169"/>
        <v>0.15927777777778118</v>
      </c>
      <c r="L855" s="2278">
        <f t="shared" si="169"/>
        <v>-0.20370370370370239</v>
      </c>
      <c r="M855" s="2278">
        <f t="shared" si="169"/>
        <v>3.310416666666427E-2</v>
      </c>
      <c r="N855" s="2278">
        <f t="shared" si="169"/>
        <v>0.16999999999999815</v>
      </c>
      <c r="O855" s="2278">
        <f t="shared" si="169"/>
        <v>4.7716666666666647</v>
      </c>
      <c r="P855" s="2279">
        <f>(P854*100/P851)-25</f>
        <v>-0.13458333333333528</v>
      </c>
      <c r="Q855" s="105"/>
    </row>
    <row r="856" spans="2:17" ht="15.75" thickBot="1">
      <c r="B856" s="29"/>
      <c r="C856" s="29"/>
      <c r="D856" s="1127"/>
      <c r="E856" s="1127"/>
      <c r="F856" s="1127"/>
      <c r="G856" s="1127"/>
      <c r="H856" s="1127"/>
      <c r="I856" s="1127"/>
      <c r="J856" s="1127"/>
      <c r="K856" s="1127"/>
      <c r="L856" s="1127"/>
      <c r="M856" s="1127"/>
      <c r="N856" s="1127"/>
      <c r="O856" s="1127"/>
      <c r="P856" s="29"/>
      <c r="Q856" s="105"/>
    </row>
    <row r="857" spans="2:17">
      <c r="B857" s="83" t="s">
        <v>738</v>
      </c>
      <c r="C857" s="58"/>
      <c r="D857" s="1553"/>
      <c r="E857" s="1306" t="s">
        <v>701</v>
      </c>
      <c r="F857" s="1307"/>
      <c r="G857" s="1307"/>
      <c r="H857" s="1308"/>
      <c r="I857" s="1309" t="s">
        <v>730</v>
      </c>
      <c r="J857" s="31"/>
      <c r="K857" s="1310"/>
      <c r="L857" s="31"/>
      <c r="M857" s="31"/>
      <c r="N857" s="31"/>
      <c r="O857" s="31"/>
      <c r="P857" s="54"/>
      <c r="Q857" s="105"/>
    </row>
    <row r="858" spans="2:17" ht="13.5" customHeight="1">
      <c r="B858" s="61"/>
      <c r="C858" s="749" t="s">
        <v>762</v>
      </c>
      <c r="D858" s="614"/>
      <c r="E858" s="1312" t="s">
        <v>705</v>
      </c>
      <c r="F858" s="1313" t="s">
        <v>706</v>
      </c>
      <c r="G858" s="787" t="s">
        <v>707</v>
      </c>
      <c r="H858" s="1314" t="s">
        <v>708</v>
      </c>
      <c r="I858" s="1432" t="s">
        <v>709</v>
      </c>
      <c r="J858" s="1433" t="s">
        <v>710</v>
      </c>
      <c r="K858" s="1434" t="s">
        <v>711</v>
      </c>
      <c r="L858" s="1435" t="s">
        <v>712</v>
      </c>
      <c r="M858" s="1436" t="s">
        <v>713</v>
      </c>
      <c r="N858" s="1025" t="s">
        <v>714</v>
      </c>
      <c r="O858" s="1436" t="s">
        <v>715</v>
      </c>
      <c r="P858" s="1437" t="s">
        <v>716</v>
      </c>
      <c r="Q858" s="105"/>
    </row>
    <row r="859" spans="2:17" ht="11.25" customHeight="1" thickBot="1">
      <c r="B859" s="57"/>
      <c r="C859" s="803"/>
      <c r="D859" s="1127"/>
      <c r="E859" s="56"/>
      <c r="F859" s="1378"/>
      <c r="H859" s="1378"/>
      <c r="I859" s="1379" t="s">
        <v>719</v>
      </c>
      <c r="J859" s="119" t="s">
        <v>720</v>
      </c>
      <c r="K859" s="1380" t="s">
        <v>721</v>
      </c>
      <c r="L859" s="1381" t="s">
        <v>722</v>
      </c>
      <c r="M859" s="1380" t="s">
        <v>723</v>
      </c>
      <c r="N859" s="46" t="s">
        <v>724</v>
      </c>
      <c r="O859" s="1382" t="s">
        <v>725</v>
      </c>
      <c r="P859" s="1383" t="s">
        <v>726</v>
      </c>
      <c r="Q859" s="105"/>
    </row>
    <row r="860" spans="2:17">
      <c r="B860" s="2370" t="s">
        <v>963</v>
      </c>
      <c r="C860" s="1288"/>
      <c r="D860" s="746">
        <v>1</v>
      </c>
      <c r="E860" s="442">
        <v>70</v>
      </c>
      <c r="F860" s="59">
        <v>1.4</v>
      </c>
      <c r="G860" s="59">
        <v>1.6</v>
      </c>
      <c r="H860" s="60">
        <v>900</v>
      </c>
      <c r="I860" s="1442">
        <v>1200</v>
      </c>
      <c r="J860" s="1442">
        <v>1200</v>
      </c>
      <c r="K860" s="1442">
        <v>300</v>
      </c>
      <c r="L860" s="1442">
        <v>18</v>
      </c>
      <c r="M860" s="1442">
        <v>1200</v>
      </c>
      <c r="N860" s="1442">
        <v>0.1</v>
      </c>
      <c r="O860" s="1442">
        <v>0.05</v>
      </c>
      <c r="P860" s="1443">
        <v>4</v>
      </c>
      <c r="Q860" s="105"/>
    </row>
    <row r="861" spans="2:17" ht="9.75" customHeight="1">
      <c r="B861" s="168"/>
      <c r="C861" s="150" t="s">
        <v>145</v>
      </c>
      <c r="D861" s="614"/>
      <c r="E861" s="769"/>
      <c r="F861" s="443"/>
      <c r="G861" s="443"/>
      <c r="H861" s="443"/>
      <c r="I861" s="443"/>
      <c r="J861" s="443"/>
      <c r="K861" s="443"/>
      <c r="L861" s="443"/>
      <c r="M861" s="443"/>
      <c r="N861" s="443"/>
      <c r="O861" s="443"/>
      <c r="P861" s="770"/>
      <c r="Q861" s="105"/>
    </row>
    <row r="862" spans="2:17">
      <c r="B862" s="1455" t="s">
        <v>739</v>
      </c>
      <c r="C862" s="616" t="s">
        <v>476</v>
      </c>
      <c r="D862" s="391">
        <v>0.35</v>
      </c>
      <c r="E862" s="1445">
        <v>24.5</v>
      </c>
      <c r="F862" s="1446">
        <v>0.49</v>
      </c>
      <c r="G862" s="1446">
        <v>0.56000000000000005</v>
      </c>
      <c r="H862" s="1475">
        <v>315</v>
      </c>
      <c r="I862" s="1446">
        <v>420</v>
      </c>
      <c r="J862" s="1446">
        <v>420</v>
      </c>
      <c r="K862" s="1446">
        <v>105</v>
      </c>
      <c r="L862" s="1446">
        <v>6.3</v>
      </c>
      <c r="M862" s="1446">
        <v>420</v>
      </c>
      <c r="N862" s="1446">
        <v>3.5000000000000003E-2</v>
      </c>
      <c r="O862" s="1446">
        <v>1.7500000000000002E-2</v>
      </c>
      <c r="P862" s="1452">
        <v>1.4</v>
      </c>
      <c r="Q862" s="105"/>
    </row>
    <row r="863" spans="2:17">
      <c r="B863" s="1449"/>
      <c r="C863" s="1450" t="s">
        <v>756</v>
      </c>
      <c r="D863" s="1451"/>
      <c r="E863" s="1551">
        <f>(E88+E143+E198+E252+E304+E360+E481+E534+E588+E644+E697+E758)/12</f>
        <v>26.983333333333338</v>
      </c>
      <c r="F863" s="1518">
        <f t="shared" ref="F863:P863" si="170">(F88+F143+F198+F252+F304+F360+F481+F534+F588+F644+F697+F758)/12</f>
        <v>0.50558333333333338</v>
      </c>
      <c r="G863" s="1518">
        <f t="shared" si="170"/>
        <v>0.5517833333333334</v>
      </c>
      <c r="H863" s="1518">
        <f t="shared" si="170"/>
        <v>318.12224999999995</v>
      </c>
      <c r="I863" s="1518">
        <f t="shared" si="170"/>
        <v>390.5429666666667</v>
      </c>
      <c r="J863" s="1518">
        <f t="shared" si="170"/>
        <v>406.8</v>
      </c>
      <c r="K863" s="1518">
        <f t="shared" si="170"/>
        <v>111.53158333333333</v>
      </c>
      <c r="L863" s="1518">
        <f t="shared" si="170"/>
        <v>6.2864166666666668</v>
      </c>
      <c r="M863" s="1518">
        <f t="shared" si="170"/>
        <v>407.15166666666664</v>
      </c>
      <c r="N863" s="1518">
        <f t="shared" si="170"/>
        <v>3.3290833333333332E-2</v>
      </c>
      <c r="O863" s="1518">
        <f t="shared" si="170"/>
        <v>1.7590000000000001E-2</v>
      </c>
      <c r="P863" s="1552">
        <f t="shared" si="170"/>
        <v>1.4186166666666669</v>
      </c>
      <c r="Q863" s="105"/>
    </row>
    <row r="864" spans="2:17" ht="15.75" thickBot="1">
      <c r="B864" s="237"/>
      <c r="C864" s="1347" t="s">
        <v>727</v>
      </c>
      <c r="D864" s="1356" t="s">
        <v>280</v>
      </c>
      <c r="E864" s="1416">
        <f>(E863*100/E860)-35</f>
        <v>3.5476190476190581</v>
      </c>
      <c r="F864" s="1370">
        <f>(F863*100/F860)-35</f>
        <v>1.1130952380952408</v>
      </c>
      <c r="G864" s="1370">
        <f t="shared" ref="G864:O864" si="171">(G863*100/G860)-35</f>
        <v>-0.51354166666666146</v>
      </c>
      <c r="H864" s="1370">
        <f t="shared" si="171"/>
        <v>0.3469166666666581</v>
      </c>
      <c r="I864" s="1370">
        <f t="shared" si="171"/>
        <v>-2.4547527777777773</v>
      </c>
      <c r="J864" s="1370">
        <f t="shared" si="171"/>
        <v>-1.1000000000000014</v>
      </c>
      <c r="K864" s="1370">
        <f t="shared" si="171"/>
        <v>2.1771944444444458</v>
      </c>
      <c r="L864" s="1370">
        <f t="shared" si="171"/>
        <v>-7.5462962962966174E-2</v>
      </c>
      <c r="M864" s="1370">
        <f t="shared" si="171"/>
        <v>-1.0706944444444488</v>
      </c>
      <c r="N864" s="1370">
        <f t="shared" si="171"/>
        <v>-1.7091666666666683</v>
      </c>
      <c r="O864" s="1370">
        <f t="shared" si="171"/>
        <v>0.17999999999999972</v>
      </c>
      <c r="P864" s="1371">
        <f>(P863*100/P860)-35</f>
        <v>0.4654166666666697</v>
      </c>
      <c r="Q864" s="105"/>
    </row>
    <row r="865" spans="2:17" ht="15.75" thickBot="1">
      <c r="P865"/>
      <c r="Q865" s="105"/>
    </row>
    <row r="866" spans="2:17">
      <c r="B866" s="83" t="s">
        <v>738</v>
      </c>
      <c r="C866" s="58"/>
      <c r="D866" s="602"/>
      <c r="E866" s="1306" t="s">
        <v>701</v>
      </c>
      <c r="F866" s="1307"/>
      <c r="G866" s="1307"/>
      <c r="H866" s="1308"/>
      <c r="I866" s="1309" t="s">
        <v>730</v>
      </c>
      <c r="J866" s="31"/>
      <c r="K866" s="1310"/>
      <c r="L866" s="31"/>
      <c r="M866" s="31"/>
      <c r="N866" s="31"/>
      <c r="O866" s="31"/>
      <c r="P866" s="54"/>
      <c r="Q866" s="105"/>
    </row>
    <row r="867" spans="2:17" ht="11.25" customHeight="1">
      <c r="B867" s="61"/>
      <c r="C867" s="749" t="s">
        <v>761</v>
      </c>
      <c r="D867" s="605"/>
      <c r="E867" s="1312" t="s">
        <v>705</v>
      </c>
      <c r="F867" s="1313" t="s">
        <v>706</v>
      </c>
      <c r="G867" s="787" t="s">
        <v>707</v>
      </c>
      <c r="H867" s="1314" t="s">
        <v>708</v>
      </c>
      <c r="I867" s="1432" t="s">
        <v>709</v>
      </c>
      <c r="J867" s="1433" t="s">
        <v>710</v>
      </c>
      <c r="K867" s="1434" t="s">
        <v>711</v>
      </c>
      <c r="L867" s="1435" t="s">
        <v>712</v>
      </c>
      <c r="M867" s="1436" t="s">
        <v>713</v>
      </c>
      <c r="N867" s="1025" t="s">
        <v>714</v>
      </c>
      <c r="O867" s="1436" t="s">
        <v>715</v>
      </c>
      <c r="P867" s="1437" t="s">
        <v>716</v>
      </c>
      <c r="Q867" s="105"/>
    </row>
    <row r="868" spans="2:17" ht="16.5" thickBot="1">
      <c r="B868" s="57"/>
      <c r="C868" s="803"/>
      <c r="D868" s="578"/>
      <c r="E868" s="56"/>
      <c r="F868" s="1378"/>
      <c r="H868" s="1378"/>
      <c r="I868" s="1379" t="s">
        <v>719</v>
      </c>
      <c r="J868" s="119" t="s">
        <v>720</v>
      </c>
      <c r="K868" s="1380" t="s">
        <v>721</v>
      </c>
      <c r="L868" s="1381" t="s">
        <v>722</v>
      </c>
      <c r="M868" s="1380" t="s">
        <v>723</v>
      </c>
      <c r="N868" s="46" t="s">
        <v>724</v>
      </c>
      <c r="O868" s="1382" t="s">
        <v>725</v>
      </c>
      <c r="P868" s="1383" t="s">
        <v>726</v>
      </c>
      <c r="Q868" s="105"/>
    </row>
    <row r="869" spans="2:17">
      <c r="B869" s="2370" t="s">
        <v>963</v>
      </c>
      <c r="C869" s="1288"/>
      <c r="D869" s="746">
        <v>1</v>
      </c>
      <c r="E869" s="442">
        <v>70</v>
      </c>
      <c r="F869" s="59">
        <v>1.4</v>
      </c>
      <c r="G869" s="59">
        <v>1.6</v>
      </c>
      <c r="H869" s="60">
        <v>900</v>
      </c>
      <c r="I869" s="1442">
        <v>1200</v>
      </c>
      <c r="J869" s="1442">
        <v>1200</v>
      </c>
      <c r="K869" s="1442">
        <v>300</v>
      </c>
      <c r="L869" s="1442">
        <v>18</v>
      </c>
      <c r="M869" s="1442">
        <v>1200</v>
      </c>
      <c r="N869" s="1442">
        <v>0.1</v>
      </c>
      <c r="O869" s="1442">
        <v>0.05</v>
      </c>
      <c r="P869" s="1443">
        <v>4</v>
      </c>
      <c r="Q869" s="105"/>
    </row>
    <row r="870" spans="2:17" ht="10.5" customHeight="1">
      <c r="B870" s="168"/>
      <c r="C870" s="150" t="s">
        <v>145</v>
      </c>
      <c r="D870" s="614"/>
      <c r="E870" s="769"/>
      <c r="F870" s="443"/>
      <c r="G870" s="443"/>
      <c r="H870" s="443"/>
      <c r="I870" s="443"/>
      <c r="J870" s="443"/>
      <c r="K870" s="443"/>
      <c r="L870" s="443"/>
      <c r="M870" s="443"/>
      <c r="N870" s="443"/>
      <c r="O870" s="443"/>
      <c r="P870" s="770"/>
      <c r="Q870" s="105"/>
    </row>
    <row r="871" spans="2:17">
      <c r="B871" s="1455" t="s">
        <v>739</v>
      </c>
      <c r="C871" s="616" t="s">
        <v>472</v>
      </c>
      <c r="D871" s="391">
        <v>0.1</v>
      </c>
      <c r="E871" s="1445">
        <v>7</v>
      </c>
      <c r="F871" s="1446">
        <v>0.14000000000000001</v>
      </c>
      <c r="G871" s="1446">
        <v>0.16</v>
      </c>
      <c r="H871" s="1475">
        <v>90</v>
      </c>
      <c r="I871" s="1446">
        <v>120</v>
      </c>
      <c r="J871" s="1446">
        <v>120</v>
      </c>
      <c r="K871" s="1446">
        <v>30</v>
      </c>
      <c r="L871" s="1446">
        <v>1.8</v>
      </c>
      <c r="M871" s="1446">
        <v>120</v>
      </c>
      <c r="N871" s="1446">
        <v>0.01</v>
      </c>
      <c r="O871" s="1446">
        <v>5.0000000000000001E-3</v>
      </c>
      <c r="P871" s="1452">
        <v>0.4</v>
      </c>
      <c r="Q871" s="105"/>
    </row>
    <row r="872" spans="2:17" ht="15.75" thickBot="1">
      <c r="B872" s="1449"/>
      <c r="C872" s="1450" t="s">
        <v>177</v>
      </c>
      <c r="D872" s="1451"/>
      <c r="E872" s="1551">
        <f t="shared" ref="E872:P872" si="172">(E95+E150+E206+E259+E311+E367+E487+E541+E595+E651+E704+E765)/12</f>
        <v>5.7154583333333333</v>
      </c>
      <c r="F872" s="1518">
        <f t="shared" si="172"/>
        <v>0.14423333333333335</v>
      </c>
      <c r="G872" s="1518">
        <f t="shared" si="172"/>
        <v>0.16652500000000001</v>
      </c>
      <c r="H872" s="1518">
        <f t="shared" si="172"/>
        <v>87.858916666666673</v>
      </c>
      <c r="I872" s="1518">
        <f t="shared" si="172"/>
        <v>149.95514666666668</v>
      </c>
      <c r="J872" s="1518">
        <f t="shared" si="172"/>
        <v>140.84233333333336</v>
      </c>
      <c r="K872" s="1518">
        <f t="shared" si="172"/>
        <v>33.508974999999992</v>
      </c>
      <c r="L872" s="1518">
        <f t="shared" si="172"/>
        <v>1.757725</v>
      </c>
      <c r="M872" s="1518">
        <f t="shared" si="172"/>
        <v>136.27808333333334</v>
      </c>
      <c r="N872" s="1518">
        <f t="shared" si="172"/>
        <v>8.7574999999999997E-3</v>
      </c>
      <c r="O872" s="1518">
        <f t="shared" si="172"/>
        <v>9.8075000000000037E-3</v>
      </c>
      <c r="P872" s="1552">
        <f t="shared" si="172"/>
        <v>0.38670000000000004</v>
      </c>
      <c r="Q872" s="105"/>
    </row>
    <row r="873" spans="2:17" ht="15.75" thickBot="1">
      <c r="B873" s="237"/>
      <c r="C873" s="1347" t="s">
        <v>727</v>
      </c>
      <c r="D873" s="1356" t="s">
        <v>280</v>
      </c>
      <c r="E873" s="2277">
        <f>(E872*100/E869)-10</f>
        <v>-1.8350595238095231</v>
      </c>
      <c r="F873" s="2278">
        <f>(F872*100/F869)-10</f>
        <v>0.30238095238095397</v>
      </c>
      <c r="G873" s="2278">
        <f t="shared" ref="G873:O873" si="173">(G872*100/G869)-10</f>
        <v>0.40781249999999858</v>
      </c>
      <c r="H873" s="2278">
        <f t="shared" si="173"/>
        <v>-0.23789814814814925</v>
      </c>
      <c r="I873" s="2278">
        <f t="shared" si="173"/>
        <v>2.4962622222222226</v>
      </c>
      <c r="J873" s="2278">
        <f t="shared" si="173"/>
        <v>1.7368611111111125</v>
      </c>
      <c r="K873" s="2278">
        <f t="shared" si="173"/>
        <v>1.1696583333333308</v>
      </c>
      <c r="L873" s="2278">
        <f t="shared" si="173"/>
        <v>-0.23486111111111008</v>
      </c>
      <c r="M873" s="2278">
        <f t="shared" si="173"/>
        <v>1.3565069444444458</v>
      </c>
      <c r="N873" s="2278">
        <f t="shared" si="173"/>
        <v>-1.2425000000000015</v>
      </c>
      <c r="O873" s="2278">
        <f t="shared" si="173"/>
        <v>9.6150000000000055</v>
      </c>
      <c r="P873" s="2279">
        <f>(P872*100/P869)-10</f>
        <v>-0.33249999999999957</v>
      </c>
      <c r="Q873" s="105"/>
    </row>
    <row r="874" spans="2:17" ht="15.75" thickBot="1">
      <c r="P874"/>
      <c r="Q874" s="105"/>
    </row>
    <row r="875" spans="2:17">
      <c r="B875" s="83" t="s">
        <v>738</v>
      </c>
      <c r="C875" s="58"/>
      <c r="D875" s="602"/>
      <c r="E875" s="1306" t="s">
        <v>701</v>
      </c>
      <c r="F875" s="1307"/>
      <c r="G875" s="1307"/>
      <c r="H875" s="1308"/>
      <c r="I875" s="1309" t="s">
        <v>730</v>
      </c>
      <c r="J875" s="31"/>
      <c r="K875" s="1310"/>
      <c r="L875" s="31"/>
      <c r="M875" s="31"/>
      <c r="N875" s="31"/>
      <c r="O875" s="31"/>
      <c r="P875" s="54"/>
      <c r="Q875" s="105"/>
    </row>
    <row r="876" spans="2:17" ht="9.75" customHeight="1">
      <c r="B876" s="61"/>
      <c r="C876" s="1453" t="s">
        <v>760</v>
      </c>
      <c r="D876" s="605"/>
      <c r="E876" s="1312" t="s">
        <v>705</v>
      </c>
      <c r="F876" s="1313" t="s">
        <v>706</v>
      </c>
      <c r="G876" s="787" t="s">
        <v>707</v>
      </c>
      <c r="H876" s="1314" t="s">
        <v>708</v>
      </c>
      <c r="I876" s="1432" t="s">
        <v>709</v>
      </c>
      <c r="J876" s="1433" t="s">
        <v>710</v>
      </c>
      <c r="K876" s="1434" t="s">
        <v>711</v>
      </c>
      <c r="L876" s="1435" t="s">
        <v>712</v>
      </c>
      <c r="M876" s="1436" t="s">
        <v>713</v>
      </c>
      <c r="N876" s="1025" t="s">
        <v>714</v>
      </c>
      <c r="O876" s="1436" t="s">
        <v>715</v>
      </c>
      <c r="P876" s="1437" t="s">
        <v>716</v>
      </c>
      <c r="Q876" s="105"/>
    </row>
    <row r="877" spans="2:17" ht="16.5" thickBot="1">
      <c r="B877" s="57"/>
      <c r="C877" s="803"/>
      <c r="D877" s="578"/>
      <c r="E877" s="56"/>
      <c r="F877" s="1378"/>
      <c r="H877" s="1378"/>
      <c r="I877" s="1379" t="s">
        <v>719</v>
      </c>
      <c r="J877" s="119" t="s">
        <v>720</v>
      </c>
      <c r="K877" s="1380" t="s">
        <v>721</v>
      </c>
      <c r="L877" s="1381" t="s">
        <v>722</v>
      </c>
      <c r="M877" s="1380" t="s">
        <v>723</v>
      </c>
      <c r="N877" s="46" t="s">
        <v>724</v>
      </c>
      <c r="O877" s="1382" t="s">
        <v>725</v>
      </c>
      <c r="P877" s="1383" t="s">
        <v>726</v>
      </c>
      <c r="Q877" s="105"/>
    </row>
    <row r="878" spans="2:17">
      <c r="B878" s="2370" t="s">
        <v>963</v>
      </c>
      <c r="C878" s="1288"/>
      <c r="D878" s="746">
        <v>1</v>
      </c>
      <c r="E878" s="442">
        <v>70</v>
      </c>
      <c r="F878" s="59">
        <v>1.4</v>
      </c>
      <c r="G878" s="59">
        <v>1.6</v>
      </c>
      <c r="H878" s="60">
        <v>900</v>
      </c>
      <c r="I878" s="1442">
        <v>1200</v>
      </c>
      <c r="J878" s="1442">
        <v>1200</v>
      </c>
      <c r="K878" s="1442">
        <v>300</v>
      </c>
      <c r="L878" s="1442">
        <v>18</v>
      </c>
      <c r="M878" s="1442">
        <v>1200</v>
      </c>
      <c r="N878" s="1442">
        <v>0.1</v>
      </c>
      <c r="O878" s="1442">
        <v>0.05</v>
      </c>
      <c r="P878" s="1443">
        <v>4</v>
      </c>
      <c r="Q878" s="105"/>
    </row>
    <row r="879" spans="2:17" ht="12" customHeight="1">
      <c r="B879" s="168"/>
      <c r="C879" s="150" t="s">
        <v>145</v>
      </c>
      <c r="D879" s="614"/>
      <c r="E879" s="769"/>
      <c r="F879" s="443"/>
      <c r="G879" s="443"/>
      <c r="H879" s="443"/>
      <c r="I879" s="443"/>
      <c r="J879" s="443"/>
      <c r="K879" s="443"/>
      <c r="L879" s="443"/>
      <c r="M879" s="443"/>
      <c r="N879" s="443"/>
      <c r="O879" s="443"/>
      <c r="P879" s="770"/>
      <c r="Q879" s="105"/>
    </row>
    <row r="880" spans="2:17">
      <c r="B880" s="1455" t="s">
        <v>739</v>
      </c>
      <c r="C880" s="616" t="s">
        <v>285</v>
      </c>
      <c r="D880" s="391">
        <v>0.6</v>
      </c>
      <c r="E880" s="1445">
        <v>42</v>
      </c>
      <c r="F880" s="1446">
        <v>0.84</v>
      </c>
      <c r="G880" s="1446">
        <v>0.96</v>
      </c>
      <c r="H880" s="1475">
        <v>540</v>
      </c>
      <c r="I880" s="1446">
        <v>720</v>
      </c>
      <c r="J880" s="1446">
        <v>720</v>
      </c>
      <c r="K880" s="1446">
        <v>180</v>
      </c>
      <c r="L880" s="1446">
        <v>10.8</v>
      </c>
      <c r="M880" s="1446">
        <v>720</v>
      </c>
      <c r="N880" s="1446">
        <v>0.06</v>
      </c>
      <c r="O880" s="1446">
        <v>0.03</v>
      </c>
      <c r="P880" s="1452">
        <v>2.4</v>
      </c>
      <c r="Q880" s="105"/>
    </row>
    <row r="881" spans="2:17" ht="15.75" thickBot="1">
      <c r="B881" s="1449"/>
      <c r="C881" s="1450" t="s">
        <v>756</v>
      </c>
      <c r="D881" s="1451"/>
      <c r="E881" s="1551">
        <f t="shared" ref="E881:P881" si="174">(E100+E156+E212+E264+E317+E373+E492+E547+E601+E656+E710+E771)/12</f>
        <v>44.103833333333334</v>
      </c>
      <c r="F881" s="1518">
        <f t="shared" si="174"/>
        <v>0.85717500000000013</v>
      </c>
      <c r="G881" s="1518">
        <f t="shared" si="174"/>
        <v>0.9557000000000001</v>
      </c>
      <c r="H881" s="1518">
        <f t="shared" si="174"/>
        <v>543.99141666666674</v>
      </c>
      <c r="I881" s="1518">
        <f t="shared" si="174"/>
        <v>687.87787500000002</v>
      </c>
      <c r="J881" s="1518">
        <f t="shared" si="174"/>
        <v>702.9355833333334</v>
      </c>
      <c r="K881" s="1518">
        <f t="shared" si="174"/>
        <v>187.00941666666668</v>
      </c>
      <c r="L881" s="1518">
        <f t="shared" si="174"/>
        <v>10.749749999999999</v>
      </c>
      <c r="M881" s="1518">
        <f t="shared" si="174"/>
        <v>707.54891666666663</v>
      </c>
      <c r="N881" s="1518">
        <f t="shared" si="174"/>
        <v>5.846083333333333E-2</v>
      </c>
      <c r="O881" s="1518">
        <f t="shared" si="174"/>
        <v>3.2475833333333336E-2</v>
      </c>
      <c r="P881" s="1552">
        <f t="shared" si="174"/>
        <v>2.4132333333333333</v>
      </c>
      <c r="Q881" s="105"/>
    </row>
    <row r="882" spans="2:17" ht="15.75" thickBot="1">
      <c r="B882" s="237"/>
      <c r="C882" s="1347" t="s">
        <v>727</v>
      </c>
      <c r="D882" s="1356" t="s">
        <v>280</v>
      </c>
      <c r="E882" s="2277">
        <f>(E881*100/E878)-60</f>
        <v>3.0054761904761875</v>
      </c>
      <c r="F882" s="2278">
        <f t="shared" ref="F882:O882" si="175">(F881*100/F878)-60</f>
        <v>1.2267857142857324</v>
      </c>
      <c r="G882" s="2278">
        <f t="shared" si="175"/>
        <v>-0.26874999999999716</v>
      </c>
      <c r="H882" s="2278">
        <f t="shared" si="175"/>
        <v>0.44349074074074935</v>
      </c>
      <c r="I882" s="2278">
        <f t="shared" si="175"/>
        <v>-2.6768437499999962</v>
      </c>
      <c r="J882" s="2278">
        <f t="shared" si="175"/>
        <v>-1.4220347222222216</v>
      </c>
      <c r="K882" s="2278">
        <f t="shared" si="175"/>
        <v>2.3364722222222341</v>
      </c>
      <c r="L882" s="2278">
        <f t="shared" si="175"/>
        <v>-0.27916666666666856</v>
      </c>
      <c r="M882" s="2278">
        <f t="shared" si="175"/>
        <v>-1.037590277777781</v>
      </c>
      <c r="N882" s="2278">
        <f t="shared" si="175"/>
        <v>-1.5391666666666737</v>
      </c>
      <c r="O882" s="2278">
        <f t="shared" si="175"/>
        <v>4.951666666666668</v>
      </c>
      <c r="P882" s="2279">
        <f>(P881*100/P878)-60</f>
        <v>0.33083333333333087</v>
      </c>
      <c r="Q882" s="105"/>
    </row>
    <row r="883" spans="2:17" ht="15.75" thickBot="1">
      <c r="P883"/>
      <c r="Q883" s="105"/>
    </row>
    <row r="884" spans="2:17">
      <c r="B884" s="83" t="s">
        <v>738</v>
      </c>
      <c r="C884" s="58"/>
      <c r="D884" s="602"/>
      <c r="E884" s="1306" t="s">
        <v>701</v>
      </c>
      <c r="F884" s="1307"/>
      <c r="G884" s="1307"/>
      <c r="H884" s="1308"/>
      <c r="I884" s="1309" t="s">
        <v>730</v>
      </c>
      <c r="J884" s="31"/>
      <c r="K884" s="1310"/>
      <c r="L884" s="31"/>
      <c r="M884" s="31"/>
      <c r="N884" s="31"/>
      <c r="O884" s="31"/>
      <c r="P884" s="54"/>
      <c r="Q884" s="105"/>
    </row>
    <row r="885" spans="2:17" ht="11.25" customHeight="1">
      <c r="B885" s="61"/>
      <c r="C885" s="1453" t="s">
        <v>759</v>
      </c>
      <c r="D885" s="605"/>
      <c r="E885" s="1312" t="s">
        <v>705</v>
      </c>
      <c r="F885" s="1313" t="s">
        <v>706</v>
      </c>
      <c r="G885" s="787" t="s">
        <v>707</v>
      </c>
      <c r="H885" s="1314" t="s">
        <v>708</v>
      </c>
      <c r="I885" s="1432" t="s">
        <v>709</v>
      </c>
      <c r="J885" s="1433" t="s">
        <v>710</v>
      </c>
      <c r="K885" s="1434" t="s">
        <v>711</v>
      </c>
      <c r="L885" s="1435" t="s">
        <v>712</v>
      </c>
      <c r="M885" s="1436" t="s">
        <v>713</v>
      </c>
      <c r="N885" s="1025" t="s">
        <v>714</v>
      </c>
      <c r="O885" s="1436" t="s">
        <v>715</v>
      </c>
      <c r="P885" s="1437" t="s">
        <v>716</v>
      </c>
      <c r="Q885" s="105"/>
    </row>
    <row r="886" spans="2:17" ht="16.5" thickBot="1">
      <c r="B886" s="57"/>
      <c r="C886" s="803"/>
      <c r="D886" s="578"/>
      <c r="E886" s="56"/>
      <c r="F886" s="1378"/>
      <c r="H886" s="1378"/>
      <c r="I886" s="1379" t="s">
        <v>719</v>
      </c>
      <c r="J886" s="119" t="s">
        <v>720</v>
      </c>
      <c r="K886" s="1380" t="s">
        <v>721</v>
      </c>
      <c r="L886" s="1381" t="s">
        <v>722</v>
      </c>
      <c r="M886" s="1380" t="s">
        <v>723</v>
      </c>
      <c r="N886" s="46" t="s">
        <v>724</v>
      </c>
      <c r="O886" s="1382" t="s">
        <v>725</v>
      </c>
      <c r="P886" s="1383" t="s">
        <v>726</v>
      </c>
      <c r="Q886" s="105"/>
    </row>
    <row r="887" spans="2:17" ht="13.5" customHeight="1">
      <c r="B887" s="2370" t="s">
        <v>963</v>
      </c>
      <c r="C887" s="1288"/>
      <c r="D887" s="746">
        <v>1</v>
      </c>
      <c r="E887" s="442">
        <v>70</v>
      </c>
      <c r="F887" s="59">
        <v>1.4</v>
      </c>
      <c r="G887" s="59">
        <v>1.6</v>
      </c>
      <c r="H887" s="60">
        <v>900</v>
      </c>
      <c r="I887" s="1442">
        <v>1200</v>
      </c>
      <c r="J887" s="1442">
        <v>1200</v>
      </c>
      <c r="K887" s="1442">
        <v>300</v>
      </c>
      <c r="L887" s="1442">
        <v>18</v>
      </c>
      <c r="M887" s="1442">
        <v>1200</v>
      </c>
      <c r="N887" s="1442">
        <v>0.1</v>
      </c>
      <c r="O887" s="1442">
        <v>0.05</v>
      </c>
      <c r="P887" s="1443">
        <v>4</v>
      </c>
      <c r="Q887" s="105"/>
    </row>
    <row r="888" spans="2:17" ht="11.25" customHeight="1">
      <c r="B888" s="168"/>
      <c r="C888" s="150" t="s">
        <v>145</v>
      </c>
      <c r="D888" s="614"/>
      <c r="E888" s="769"/>
      <c r="F888" s="443"/>
      <c r="G888" s="443"/>
      <c r="H888" s="443"/>
      <c r="I888" s="443"/>
      <c r="J888" s="443"/>
      <c r="K888" s="443"/>
      <c r="L888" s="443"/>
      <c r="M888" s="443"/>
      <c r="N888" s="443"/>
      <c r="O888" s="443"/>
      <c r="P888" s="770"/>
      <c r="Q888" s="105"/>
    </row>
    <row r="889" spans="2:17">
      <c r="B889" s="1455" t="s">
        <v>739</v>
      </c>
      <c r="C889" s="616" t="s">
        <v>473</v>
      </c>
      <c r="D889" s="391">
        <v>0.45</v>
      </c>
      <c r="E889" s="1445">
        <v>31.5</v>
      </c>
      <c r="F889" s="1446">
        <v>0.63</v>
      </c>
      <c r="G889" s="1446">
        <v>0.72</v>
      </c>
      <c r="H889" s="1475">
        <v>405</v>
      </c>
      <c r="I889" s="1446">
        <v>540</v>
      </c>
      <c r="J889" s="1446">
        <v>540</v>
      </c>
      <c r="K889" s="1446">
        <v>135</v>
      </c>
      <c r="L889" s="1446">
        <v>8.1</v>
      </c>
      <c r="M889" s="1446">
        <v>540</v>
      </c>
      <c r="N889" s="1446">
        <v>4.4999999999999998E-2</v>
      </c>
      <c r="O889" s="1446">
        <v>2.2499999999999999E-2</v>
      </c>
      <c r="P889" s="1452">
        <v>1.8</v>
      </c>
      <c r="Q889" s="105"/>
    </row>
    <row r="890" spans="2:17" ht="15.75" thickBot="1">
      <c r="B890" s="620"/>
      <c r="C890" s="1450" t="s">
        <v>756</v>
      </c>
      <c r="D890" s="1451"/>
      <c r="E890" s="1551">
        <f t="shared" ref="E890:P890" si="176">(E103+E160+E215+E267+E321+E377+E496+E551+E605+E660+E714+E775)/12</f>
        <v>32.698791666666672</v>
      </c>
      <c r="F890" s="1518">
        <f t="shared" si="176"/>
        <v>0.64981666666666671</v>
      </c>
      <c r="G890" s="1518">
        <f t="shared" si="176"/>
        <v>0.71830833333333344</v>
      </c>
      <c r="H890" s="1518">
        <f t="shared" si="176"/>
        <v>405.98116666666664</v>
      </c>
      <c r="I890" s="1518">
        <f t="shared" si="176"/>
        <v>540.49811333333332</v>
      </c>
      <c r="J890" s="1518">
        <f t="shared" si="176"/>
        <v>547.64233333333334</v>
      </c>
      <c r="K890" s="1518">
        <f t="shared" si="176"/>
        <v>145.04055833333334</v>
      </c>
      <c r="L890" s="1518">
        <f t="shared" si="176"/>
        <v>8.0441416666666665</v>
      </c>
      <c r="M890" s="1518">
        <f t="shared" si="176"/>
        <v>543.42975000000001</v>
      </c>
      <c r="N890" s="1518">
        <f t="shared" si="176"/>
        <v>4.2048333333333333E-2</v>
      </c>
      <c r="O890" s="1518">
        <f t="shared" si="176"/>
        <v>2.7397500000000002E-2</v>
      </c>
      <c r="P890" s="1552">
        <f t="shared" si="176"/>
        <v>1.8053166666666665</v>
      </c>
      <c r="Q890" s="105"/>
    </row>
    <row r="891" spans="2:17" ht="15.75" thickBot="1">
      <c r="B891" s="237"/>
      <c r="C891" s="1347" t="s">
        <v>727</v>
      </c>
      <c r="D891" s="1356" t="s">
        <v>280</v>
      </c>
      <c r="E891" s="2277">
        <f>(E890*100/E887)-45</f>
        <v>1.7125595238095315</v>
      </c>
      <c r="F891" s="2278">
        <f t="shared" ref="F891:O891" si="177">(F890*100/F887)-45</f>
        <v>1.4154761904761983</v>
      </c>
      <c r="G891" s="2278">
        <f t="shared" si="177"/>
        <v>-0.10572916666666288</v>
      </c>
      <c r="H891" s="2278">
        <f t="shared" si="177"/>
        <v>0.10901851851851063</v>
      </c>
      <c r="I891" s="2278">
        <f t="shared" si="177"/>
        <v>4.1509444444443488E-2</v>
      </c>
      <c r="J891" s="2278">
        <f t="shared" si="177"/>
        <v>0.63686111111111643</v>
      </c>
      <c r="K891" s="2278">
        <f t="shared" si="177"/>
        <v>3.3468527777777766</v>
      </c>
      <c r="L891" s="2278">
        <f t="shared" si="177"/>
        <v>-0.31032407407407447</v>
      </c>
      <c r="M891" s="2278">
        <f t="shared" si="177"/>
        <v>0.28581249999999869</v>
      </c>
      <c r="N891" s="2278">
        <f t="shared" si="177"/>
        <v>-2.951666666666668</v>
      </c>
      <c r="O891" s="2278">
        <f t="shared" si="177"/>
        <v>9.7950000000000017</v>
      </c>
      <c r="P891" s="2279">
        <f>(P890*100/P887)-45</f>
        <v>0.13291666666665947</v>
      </c>
      <c r="Q891" s="105"/>
    </row>
    <row r="892" spans="2:17" ht="15.75" thickBot="1">
      <c r="P892"/>
      <c r="Q892" s="105"/>
    </row>
    <row r="893" spans="2:17">
      <c r="B893" s="83" t="s">
        <v>749</v>
      </c>
      <c r="C893" s="58"/>
      <c r="D893" s="1479" t="s">
        <v>479</v>
      </c>
      <c r="E893" s="1306" t="s">
        <v>701</v>
      </c>
      <c r="F893" s="1307"/>
      <c r="G893" s="1307"/>
      <c r="H893" s="1308"/>
      <c r="I893" s="1309" t="s">
        <v>730</v>
      </c>
      <c r="J893" s="31"/>
      <c r="K893" s="1310"/>
      <c r="L893" s="31"/>
      <c r="M893" s="31"/>
      <c r="N893" s="31"/>
      <c r="O893" s="31"/>
      <c r="P893" s="54"/>
      <c r="Q893" s="105"/>
    </row>
    <row r="894" spans="2:17">
      <c r="B894" s="1480" t="s">
        <v>764</v>
      </c>
      <c r="C894" s="749"/>
      <c r="D894" s="605"/>
      <c r="E894" s="1312" t="s">
        <v>705</v>
      </c>
      <c r="F894" s="1313" t="s">
        <v>706</v>
      </c>
      <c r="G894" s="787" t="s">
        <v>707</v>
      </c>
      <c r="H894" s="1314" t="s">
        <v>708</v>
      </c>
      <c r="I894" s="1432" t="s">
        <v>709</v>
      </c>
      <c r="J894" s="1433" t="s">
        <v>710</v>
      </c>
      <c r="K894" s="1434" t="s">
        <v>711</v>
      </c>
      <c r="L894" s="1435" t="s">
        <v>712</v>
      </c>
      <c r="M894" s="1436" t="s">
        <v>713</v>
      </c>
      <c r="N894" s="1025" t="s">
        <v>714</v>
      </c>
      <c r="O894" s="1436" t="s">
        <v>715</v>
      </c>
      <c r="P894" s="1437" t="s">
        <v>716</v>
      </c>
      <c r="Q894" s="105"/>
    </row>
    <row r="895" spans="2:17" ht="15.75" thickBot="1">
      <c r="B895" s="57"/>
      <c r="C895" s="106" t="s">
        <v>317</v>
      </c>
      <c r="D895" s="578"/>
      <c r="E895" s="56"/>
      <c r="F895" s="1378"/>
      <c r="H895" s="1378"/>
      <c r="I895" s="1379" t="s">
        <v>719</v>
      </c>
      <c r="J895" s="119" t="s">
        <v>720</v>
      </c>
      <c r="K895" s="1380" t="s">
        <v>721</v>
      </c>
      <c r="L895" s="1381" t="s">
        <v>722</v>
      </c>
      <c r="M895" s="1380" t="s">
        <v>723</v>
      </c>
      <c r="N895" s="46" t="s">
        <v>724</v>
      </c>
      <c r="O895" s="1382" t="s">
        <v>725</v>
      </c>
      <c r="P895" s="1383" t="s">
        <v>726</v>
      </c>
      <c r="Q895" s="105"/>
    </row>
    <row r="896" spans="2:17">
      <c r="B896" s="2370" t="s">
        <v>963</v>
      </c>
      <c r="C896" s="1288"/>
      <c r="D896" s="746">
        <v>1</v>
      </c>
      <c r="E896" s="442">
        <v>70</v>
      </c>
      <c r="F896" s="59">
        <v>1.4</v>
      </c>
      <c r="G896" s="59">
        <v>1.6</v>
      </c>
      <c r="H896" s="60">
        <v>900</v>
      </c>
      <c r="I896" s="1442">
        <v>1200</v>
      </c>
      <c r="J896" s="1442">
        <v>1200</v>
      </c>
      <c r="K896" s="1442">
        <v>300</v>
      </c>
      <c r="L896" s="1442">
        <v>18</v>
      </c>
      <c r="M896" s="1442">
        <v>1200</v>
      </c>
      <c r="N896" s="1442">
        <v>0.1</v>
      </c>
      <c r="O896" s="1442">
        <v>0.05</v>
      </c>
      <c r="P896" s="1443">
        <v>4</v>
      </c>
      <c r="Q896" s="105"/>
    </row>
    <row r="897" spans="2:17" ht="11.25" customHeight="1">
      <c r="B897" s="168"/>
      <c r="C897" s="150" t="s">
        <v>145</v>
      </c>
      <c r="D897" s="614"/>
      <c r="E897" s="769"/>
      <c r="F897" s="443"/>
      <c r="G897" s="443"/>
      <c r="H897" s="443"/>
      <c r="I897" s="443"/>
      <c r="J897" s="443"/>
      <c r="K897" s="443"/>
      <c r="L897" s="443"/>
      <c r="M897" s="443"/>
      <c r="N897" s="443"/>
      <c r="O897" s="443"/>
      <c r="P897" s="770"/>
      <c r="Q897" s="105"/>
    </row>
    <row r="898" spans="2:17">
      <c r="B898" s="2193" t="s">
        <v>739</v>
      </c>
      <c r="C898" s="2194" t="s">
        <v>750</v>
      </c>
      <c r="D898" s="1012">
        <v>0.7</v>
      </c>
      <c r="E898" s="1476">
        <v>49</v>
      </c>
      <c r="F898" s="1458">
        <v>0.98</v>
      </c>
      <c r="G898" s="1458">
        <v>1.1200000000000001</v>
      </c>
      <c r="H898" s="1477">
        <v>630</v>
      </c>
      <c r="I898" s="1458">
        <v>840</v>
      </c>
      <c r="J898" s="1458">
        <v>840</v>
      </c>
      <c r="K898" s="1458">
        <v>210</v>
      </c>
      <c r="L898" s="1458">
        <v>12.6</v>
      </c>
      <c r="M898" s="1458">
        <v>840</v>
      </c>
      <c r="N898" s="1458">
        <v>7.0000000000000007E-2</v>
      </c>
      <c r="O898" s="1458">
        <v>3.5000000000000003E-2</v>
      </c>
      <c r="P898" s="1478">
        <v>2.8</v>
      </c>
      <c r="Q898" s="105"/>
    </row>
    <row r="899" spans="2:17" ht="12" customHeight="1" thickBot="1">
      <c r="B899" s="1449"/>
      <c r="C899" s="1450" t="s">
        <v>756</v>
      </c>
      <c r="D899" s="1451"/>
      <c r="E899" s="1551">
        <f t="shared" ref="E899:P899" si="178">(E107+E164+E218+E271+E325+E381+E500+E555+E609+E664+E718+E779)/12</f>
        <v>49.819291666666679</v>
      </c>
      <c r="F899" s="1518">
        <f t="shared" si="178"/>
        <v>1.0014083333333337</v>
      </c>
      <c r="G899" s="1518">
        <f t="shared" si="178"/>
        <v>1.122225</v>
      </c>
      <c r="H899" s="1518">
        <f t="shared" si="178"/>
        <v>631.85033333333331</v>
      </c>
      <c r="I899" s="1518">
        <f t="shared" si="178"/>
        <v>837.8330216666667</v>
      </c>
      <c r="J899" s="1518">
        <f t="shared" si="178"/>
        <v>843.77791666666678</v>
      </c>
      <c r="K899" s="1518">
        <f t="shared" si="178"/>
        <v>220.5183916666667</v>
      </c>
      <c r="L899" s="1518">
        <f t="shared" si="178"/>
        <v>12.507475000000001</v>
      </c>
      <c r="M899" s="1518">
        <f t="shared" si="178"/>
        <v>843.82699999999988</v>
      </c>
      <c r="N899" s="1518">
        <f t="shared" si="178"/>
        <v>6.7218333333333338E-2</v>
      </c>
      <c r="O899" s="1518">
        <f t="shared" si="178"/>
        <v>4.2283333333333339E-2</v>
      </c>
      <c r="P899" s="1552">
        <f t="shared" si="178"/>
        <v>2.7999333333333336</v>
      </c>
      <c r="Q899" s="105"/>
    </row>
    <row r="900" spans="2:17" ht="15.75" thickBot="1">
      <c r="B900" s="237"/>
      <c r="C900" s="1347" t="s">
        <v>727</v>
      </c>
      <c r="D900" s="1356" t="s">
        <v>280</v>
      </c>
      <c r="E900" s="2277">
        <f>(E899*100/E896)-70</f>
        <v>1.1704166666666822</v>
      </c>
      <c r="F900" s="2278">
        <f>(F899*100/F896)-70</f>
        <v>1.529166666666697</v>
      </c>
      <c r="G900" s="2278">
        <f t="shared" ref="G900:O900" si="179">(G899*100/G896)-70</f>
        <v>0.13906249999999432</v>
      </c>
      <c r="H900" s="2278">
        <f t="shared" si="179"/>
        <v>0.20559259259259477</v>
      </c>
      <c r="I900" s="2278">
        <f t="shared" si="179"/>
        <v>-0.18058152777777536</v>
      </c>
      <c r="J900" s="2278">
        <f t="shared" si="179"/>
        <v>0.31482638888888914</v>
      </c>
      <c r="K900" s="2278">
        <f t="shared" si="179"/>
        <v>3.5061305555555577</v>
      </c>
      <c r="L900" s="2278">
        <f t="shared" si="179"/>
        <v>-0.51402777777776976</v>
      </c>
      <c r="M900" s="2278">
        <f t="shared" si="179"/>
        <v>0.3189166666666523</v>
      </c>
      <c r="N900" s="2278">
        <f t="shared" si="179"/>
        <v>-2.7816666666666663</v>
      </c>
      <c r="O900" s="2278">
        <f t="shared" si="179"/>
        <v>14.566666666666663</v>
      </c>
      <c r="P900" s="2279">
        <f>(P899*100/P896)-70</f>
        <v>-1.6666666666651508E-3</v>
      </c>
      <c r="Q900" s="105"/>
    </row>
    <row r="901" spans="2:17">
      <c r="P901"/>
      <c r="Q901" s="105"/>
    </row>
    <row r="902" spans="2:17">
      <c r="E902" s="1289"/>
      <c r="F902" s="1289"/>
      <c r="G902" s="1289"/>
      <c r="H902" s="1289"/>
      <c r="P902"/>
      <c r="Q902" s="105"/>
    </row>
    <row r="903" spans="2:17">
      <c r="P903"/>
      <c r="Q903" s="105"/>
    </row>
    <row r="904" spans="2:17">
      <c r="P904"/>
      <c r="Q904" s="105"/>
    </row>
    <row r="905" spans="2:17">
      <c r="P905"/>
      <c r="Q905" s="105"/>
    </row>
    <row r="906" spans="2:17">
      <c r="B906" s="2" t="s">
        <v>136</v>
      </c>
      <c r="D906"/>
      <c r="E906"/>
      <c r="F906"/>
      <c r="G906"/>
      <c r="H906" t="s">
        <v>137</v>
      </c>
      <c r="P906"/>
      <c r="Q906" s="105"/>
    </row>
    <row r="907" spans="2:17">
      <c r="P907"/>
      <c r="Q907" s="105"/>
    </row>
    <row r="908" spans="2:17">
      <c r="C908" t="s">
        <v>21</v>
      </c>
      <c r="D908"/>
      <c r="E908" s="3"/>
      <c r="F908"/>
      <c r="G908"/>
      <c r="H908"/>
      <c r="P908"/>
      <c r="Q908" s="105"/>
    </row>
    <row r="909" spans="2:17">
      <c r="B909" s="62">
        <v>1</v>
      </c>
      <c r="C909" s="48" t="s">
        <v>22</v>
      </c>
      <c r="D909" s="48"/>
      <c r="E909" s="66"/>
      <c r="F909" s="48" t="s">
        <v>23</v>
      </c>
      <c r="G909" s="48"/>
      <c r="H909" s="48"/>
      <c r="P909"/>
      <c r="Q909" s="105"/>
    </row>
    <row r="910" spans="2:17">
      <c r="B910" s="62"/>
      <c r="C910" s="48" t="s">
        <v>24</v>
      </c>
      <c r="D910" s="48"/>
      <c r="E910" s="66"/>
      <c r="F910" s="48"/>
      <c r="G910" s="65"/>
      <c r="H910" s="48"/>
      <c r="P910"/>
      <c r="Q910" s="105"/>
    </row>
    <row r="911" spans="2:17">
      <c r="B911">
        <v>2</v>
      </c>
      <c r="C911" s="48" t="s">
        <v>25</v>
      </c>
      <c r="D911" s="48"/>
      <c r="E911" s="66"/>
      <c r="F911" s="48"/>
      <c r="G911" s="48"/>
      <c r="H911" s="48"/>
      <c r="P911"/>
      <c r="Q911" s="105"/>
    </row>
    <row r="912" spans="2:17">
      <c r="C912" s="48" t="s">
        <v>26</v>
      </c>
      <c r="D912" s="48"/>
      <c r="E912" s="66"/>
      <c r="F912" s="48"/>
      <c r="G912" s="65"/>
      <c r="H912" s="48"/>
      <c r="P912"/>
      <c r="Q912" s="105"/>
    </row>
    <row r="913" spans="2:17">
      <c r="B913">
        <v>3</v>
      </c>
      <c r="C913" s="105" t="s">
        <v>751</v>
      </c>
      <c r="D913" s="105"/>
      <c r="E913" s="105"/>
      <c r="F913" s="105"/>
      <c r="G913" s="105"/>
      <c r="H913" s="105"/>
      <c r="I913" s="105"/>
      <c r="J913" s="105"/>
      <c r="P913"/>
      <c r="Q913" s="105"/>
    </row>
    <row r="914" spans="2:17">
      <c r="C914" s="105" t="s">
        <v>752</v>
      </c>
      <c r="D914" s="105"/>
      <c r="E914" s="105"/>
      <c r="F914" s="105"/>
      <c r="G914" s="105"/>
      <c r="H914" s="105"/>
      <c r="I914" s="105"/>
      <c r="J914" s="2"/>
      <c r="P914"/>
      <c r="Q914" s="105"/>
    </row>
    <row r="915" spans="2:17">
      <c r="C915" s="105" t="s">
        <v>753</v>
      </c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218"/>
      <c r="P915"/>
      <c r="Q915" s="105"/>
    </row>
    <row r="916" spans="2:17">
      <c r="B916">
        <v>4</v>
      </c>
      <c r="C916" s="105" t="s">
        <v>961</v>
      </c>
      <c r="D916" s="105"/>
      <c r="E916" s="105"/>
      <c r="F916" s="105"/>
      <c r="G916" s="105"/>
      <c r="H916" s="105"/>
      <c r="K916" s="105"/>
      <c r="L916" s="105"/>
      <c r="M916" s="105"/>
      <c r="N916" s="105"/>
      <c r="O916" s="218"/>
      <c r="P916"/>
      <c r="Q916" s="105"/>
    </row>
    <row r="917" spans="2:17">
      <c r="C917" s="105" t="s">
        <v>962</v>
      </c>
      <c r="D917" s="105"/>
      <c r="E917" s="105"/>
      <c r="F917" s="105"/>
      <c r="G917" s="105"/>
      <c r="H917" s="105"/>
      <c r="K917" s="105"/>
      <c r="L917" s="105"/>
      <c r="M917" s="105"/>
      <c r="N917" s="105"/>
      <c r="O917" s="218"/>
      <c r="P917"/>
      <c r="Q917" s="105"/>
    </row>
    <row r="918" spans="2:17">
      <c r="C918" s="105"/>
      <c r="D918" s="105"/>
      <c r="E918" s="105"/>
      <c r="F918" s="105"/>
      <c r="G918" s="105"/>
      <c r="H918" s="105"/>
      <c r="P918"/>
      <c r="Q918" s="105"/>
    </row>
    <row r="919" spans="2:17">
      <c r="C919" s="105"/>
      <c r="D919" s="105"/>
      <c r="E919" s="105"/>
      <c r="F919" s="105"/>
      <c r="G919" s="105"/>
      <c r="H919" s="105"/>
      <c r="P919"/>
      <c r="Q919" s="105"/>
    </row>
    <row r="920" spans="2:17">
      <c r="C920" s="48"/>
      <c r="D920" s="48"/>
      <c r="E920" s="66"/>
      <c r="F920" s="48"/>
      <c r="G920" s="65"/>
      <c r="H920" s="48"/>
      <c r="P920"/>
      <c r="Q920" s="105"/>
    </row>
    <row r="921" spans="2:17">
      <c r="P921"/>
      <c r="Q921" s="105"/>
    </row>
    <row r="922" spans="2:17">
      <c r="P922"/>
      <c r="Q922" s="105"/>
    </row>
    <row r="923" spans="2:17">
      <c r="P923"/>
      <c r="Q923" s="105"/>
    </row>
    <row r="924" spans="2:17">
      <c r="P924"/>
      <c r="Q924" s="105"/>
    </row>
    <row r="925" spans="2:17">
      <c r="P925"/>
      <c r="Q925" s="105"/>
    </row>
    <row r="926" spans="2:17">
      <c r="P926"/>
      <c r="Q926" s="105"/>
    </row>
    <row r="927" spans="2:17">
      <c r="P927"/>
      <c r="Q927" s="105"/>
    </row>
    <row r="928" spans="2:17">
      <c r="P928"/>
      <c r="Q928" s="105"/>
    </row>
    <row r="929" spans="10:17">
      <c r="J929" s="3"/>
      <c r="P929"/>
      <c r="Q929" s="105"/>
    </row>
    <row r="930" spans="10:17">
      <c r="J930" s="3"/>
      <c r="P930"/>
      <c r="Q930" s="105"/>
    </row>
    <row r="931" spans="10:17">
      <c r="J931" s="3"/>
      <c r="P931"/>
      <c r="Q931" s="105"/>
    </row>
    <row r="932" spans="10:17">
      <c r="J932" s="3"/>
      <c r="P932"/>
      <c r="Q932" s="105"/>
    </row>
    <row r="933" spans="10:17">
      <c r="J933" s="3"/>
      <c r="P933"/>
      <c r="Q933" s="105"/>
    </row>
    <row r="934" spans="10:17">
      <c r="J934" s="3"/>
      <c r="P934"/>
      <c r="Q934" s="105"/>
    </row>
    <row r="935" spans="10:17">
      <c r="J935" s="3"/>
      <c r="P935"/>
      <c r="Q935" s="105"/>
    </row>
    <row r="936" spans="10:17">
      <c r="J936" s="3"/>
      <c r="P936"/>
      <c r="Q936" s="105"/>
    </row>
    <row r="937" spans="10:17">
      <c r="J937" s="3"/>
      <c r="P937"/>
      <c r="Q937" s="105"/>
    </row>
    <row r="938" spans="10:17">
      <c r="J938" s="3"/>
      <c r="P938"/>
      <c r="Q938" s="105"/>
    </row>
    <row r="939" spans="10:17">
      <c r="J939" s="3"/>
      <c r="P939"/>
      <c r="Q939" s="105"/>
    </row>
    <row r="940" spans="10:17">
      <c r="J940" s="3"/>
      <c r="P940"/>
      <c r="Q940" s="105"/>
    </row>
    <row r="941" spans="10:17">
      <c r="J941" s="3"/>
      <c r="P941"/>
      <c r="Q941" s="105"/>
    </row>
    <row r="942" spans="10:17">
      <c r="J942" s="3"/>
      <c r="P942"/>
      <c r="Q942" s="105"/>
    </row>
    <row r="943" spans="10:17">
      <c r="J943" s="3"/>
      <c r="P943"/>
      <c r="Q943" s="105"/>
    </row>
    <row r="944" spans="10:17">
      <c r="J944" s="3"/>
      <c r="P944"/>
      <c r="Q944" s="105"/>
    </row>
    <row r="945" spans="10:17">
      <c r="J945" s="3"/>
      <c r="P945"/>
      <c r="Q945" s="105"/>
    </row>
    <row r="946" spans="10:17">
      <c r="J946" s="3"/>
      <c r="P946"/>
      <c r="Q946" s="105"/>
    </row>
    <row r="947" spans="10:17">
      <c r="J947" s="3"/>
      <c r="P947"/>
      <c r="Q947" s="105"/>
    </row>
    <row r="948" spans="10:17">
      <c r="J948" s="3"/>
      <c r="P948"/>
      <c r="Q948" s="105"/>
    </row>
    <row r="949" spans="10:17">
      <c r="K949" s="3"/>
    </row>
    <row r="950" spans="10:17">
      <c r="K950" s="3"/>
    </row>
    <row r="951" spans="10:17">
      <c r="K951" s="3"/>
    </row>
    <row r="952" spans="10:17">
      <c r="K952" s="3"/>
    </row>
    <row r="953" spans="10:17">
      <c r="K953" s="3"/>
    </row>
    <row r="954" spans="10:17">
      <c r="K954" s="3"/>
    </row>
    <row r="955" spans="10:17">
      <c r="K955" s="3"/>
    </row>
    <row r="956" spans="10:17">
      <c r="K956" s="3"/>
    </row>
    <row r="957" spans="10:17">
      <c r="K957" s="3"/>
    </row>
    <row r="958" spans="10:17">
      <c r="K958" s="3"/>
    </row>
    <row r="959" spans="10:17">
      <c r="K959" s="3"/>
    </row>
    <row r="960" spans="10:17">
      <c r="K960" s="3"/>
    </row>
    <row r="961" spans="11:11">
      <c r="K961" s="3"/>
    </row>
    <row r="962" spans="11:11">
      <c r="K962" s="3"/>
    </row>
    <row r="963" spans="11:11">
      <c r="K963" s="3"/>
    </row>
    <row r="964" spans="11:11">
      <c r="K964" s="3"/>
    </row>
    <row r="965" spans="11:11">
      <c r="K965" s="3"/>
    </row>
    <row r="966" spans="11:11">
      <c r="K966" s="3"/>
    </row>
    <row r="967" spans="11:11">
      <c r="K967" s="3"/>
    </row>
    <row r="968" spans="11:11">
      <c r="K968" s="3"/>
    </row>
    <row r="969" spans="11:11">
      <c r="K969" s="3"/>
    </row>
    <row r="970" spans="11:11">
      <c r="K970" s="3"/>
    </row>
    <row r="971" spans="11:11">
      <c r="K971" s="3"/>
    </row>
    <row r="972" spans="11:11">
      <c r="K972" s="3"/>
    </row>
    <row r="973" spans="11:11">
      <c r="K973" s="3"/>
    </row>
    <row r="974" spans="11:11">
      <c r="K974" s="3"/>
    </row>
    <row r="975" spans="11:11">
      <c r="K975" s="3"/>
    </row>
    <row r="976" spans="11:11">
      <c r="K976" s="3"/>
    </row>
    <row r="977" spans="11:11">
      <c r="K977" s="3"/>
    </row>
    <row r="978" spans="11:11">
      <c r="K978" s="3"/>
    </row>
    <row r="979" spans="11:11">
      <c r="K979" s="3"/>
    </row>
    <row r="980" spans="11:11">
      <c r="K980" s="3"/>
    </row>
    <row r="981" spans="11:11">
      <c r="K981" s="3"/>
    </row>
    <row r="982" spans="11:11">
      <c r="K982" s="3"/>
    </row>
    <row r="983" spans="11:11">
      <c r="K983" s="3"/>
    </row>
    <row r="984" spans="11:11">
      <c r="K984" s="3"/>
    </row>
    <row r="985" spans="11:11">
      <c r="K985" s="3"/>
    </row>
    <row r="986" spans="11:11">
      <c r="K986" s="3"/>
    </row>
    <row r="987" spans="11:11">
      <c r="K987" s="3"/>
    </row>
    <row r="988" spans="11:11">
      <c r="K988" s="3"/>
    </row>
    <row r="989" spans="11:11">
      <c r="K989" s="3"/>
    </row>
    <row r="990" spans="11:11">
      <c r="K990" s="3"/>
    </row>
    <row r="991" spans="11:11">
      <c r="K991" s="3"/>
    </row>
    <row r="992" spans="11:11">
      <c r="K992" s="3"/>
    </row>
    <row r="993" spans="11:11">
      <c r="K993" s="3"/>
    </row>
    <row r="994" spans="11:11">
      <c r="K994" s="3"/>
    </row>
    <row r="995" spans="11:11">
      <c r="K995" s="3"/>
    </row>
    <row r="996" spans="11:11">
      <c r="K996" s="3"/>
    </row>
    <row r="997" spans="11:11">
      <c r="K997" s="3"/>
    </row>
    <row r="998" spans="11:11">
      <c r="K998" s="3"/>
    </row>
    <row r="999" spans="11:11">
      <c r="K999" s="3"/>
    </row>
    <row r="1000" spans="11:11">
      <c r="K1000" s="3"/>
    </row>
    <row r="1001" spans="11:11">
      <c r="K1001" s="3"/>
    </row>
    <row r="1002" spans="11:11">
      <c r="K1002" s="3"/>
    </row>
    <row r="1003" spans="11:11">
      <c r="K1003" s="3"/>
    </row>
    <row r="1004" spans="11:11">
      <c r="K1004" s="3"/>
    </row>
    <row r="1005" spans="11:11">
      <c r="K1005" s="3"/>
    </row>
    <row r="1006" spans="11:11">
      <c r="K1006" s="3"/>
    </row>
    <row r="1007" spans="11:11">
      <c r="K1007" s="3"/>
    </row>
    <row r="1008" spans="11:11">
      <c r="K1008" s="3"/>
    </row>
    <row r="1009" spans="11:11">
      <c r="K1009" s="3"/>
    </row>
    <row r="1010" spans="11:11">
      <c r="K1010" s="3"/>
    </row>
    <row r="1011" spans="11:11">
      <c r="K1011" s="3"/>
    </row>
    <row r="1012" spans="11:11">
      <c r="K1012" s="3"/>
    </row>
    <row r="1013" spans="11:11">
      <c r="K1013" s="3"/>
    </row>
    <row r="1014" spans="11:11">
      <c r="K1014" s="3"/>
    </row>
    <row r="1015" spans="11:11">
      <c r="K1015" s="3"/>
    </row>
    <row r="1016" spans="11:11">
      <c r="K1016" s="3"/>
    </row>
    <row r="1017" spans="11:11">
      <c r="K1017" s="3"/>
    </row>
    <row r="1018" spans="11:11">
      <c r="K1018" s="3"/>
    </row>
    <row r="1019" spans="11:11">
      <c r="K1019" s="3"/>
    </row>
    <row r="1020" spans="11:11">
      <c r="K1020" s="3"/>
    </row>
    <row r="1021" spans="11:11">
      <c r="K1021" s="3"/>
    </row>
    <row r="1022" spans="11:11">
      <c r="K1022" s="3"/>
    </row>
    <row r="1023" spans="11:11">
      <c r="K1023" s="3"/>
    </row>
    <row r="1024" spans="11:11">
      <c r="K1024" s="3"/>
    </row>
    <row r="1025" spans="11:11">
      <c r="K1025" s="3"/>
    </row>
    <row r="1026" spans="11:11">
      <c r="K1026" s="3"/>
    </row>
    <row r="1027" spans="11:11">
      <c r="K1027" s="3"/>
    </row>
    <row r="1028" spans="11:11">
      <c r="K1028" s="3"/>
    </row>
    <row r="1029" spans="11:11">
      <c r="K1029" s="3"/>
    </row>
    <row r="1030" spans="11:11">
      <c r="K1030" s="3"/>
    </row>
    <row r="1031" spans="11:11">
      <c r="K1031" s="3"/>
    </row>
    <row r="1032" spans="11:11">
      <c r="K1032" s="3"/>
    </row>
    <row r="1033" spans="11:11">
      <c r="K1033" s="3"/>
    </row>
    <row r="1034" spans="11:11">
      <c r="K1034" s="3"/>
    </row>
    <row r="1035" spans="11:11">
      <c r="K1035" s="3"/>
    </row>
    <row r="1036" spans="11:11">
      <c r="K1036" s="3"/>
    </row>
    <row r="1037" spans="11:11">
      <c r="K1037" s="3"/>
    </row>
    <row r="1038" spans="11:11">
      <c r="K1038" s="3"/>
    </row>
    <row r="1039" spans="11:11">
      <c r="K1039" s="3"/>
    </row>
    <row r="1040" spans="11:11">
      <c r="K1040" s="3"/>
    </row>
    <row r="1041" spans="11:11">
      <c r="K1041" s="3"/>
    </row>
    <row r="1042" spans="11:11">
      <c r="K1042" s="3"/>
    </row>
    <row r="1043" spans="11:11">
      <c r="K1043" s="3"/>
    </row>
    <row r="1044" spans="11:11">
      <c r="K1044" s="3"/>
    </row>
    <row r="1045" spans="11:11">
      <c r="K1045" s="3"/>
    </row>
    <row r="1046" spans="11:11">
      <c r="K1046" s="3"/>
    </row>
    <row r="1047" spans="11:11">
      <c r="K1047" s="3"/>
    </row>
    <row r="1048" spans="11:11">
      <c r="K1048" s="3"/>
    </row>
    <row r="1049" spans="11:11">
      <c r="K1049" s="3"/>
    </row>
    <row r="1050" spans="11:11">
      <c r="K1050" s="3"/>
    </row>
    <row r="1051" spans="11:11">
      <c r="K1051" s="3"/>
    </row>
    <row r="1052" spans="11:11">
      <c r="K1052" s="3"/>
    </row>
    <row r="1053" spans="11:11">
      <c r="K1053" s="3"/>
    </row>
    <row r="1054" spans="11:11">
      <c r="K1054" s="3"/>
    </row>
    <row r="1055" spans="11:11">
      <c r="K1055" s="3"/>
    </row>
    <row r="1056" spans="11:11">
      <c r="K1056" s="3"/>
    </row>
    <row r="1057" spans="11:11">
      <c r="K1057" s="3"/>
    </row>
    <row r="1058" spans="11:11">
      <c r="K1058" s="3"/>
    </row>
    <row r="1059" spans="11:11">
      <c r="K1059" s="3"/>
    </row>
    <row r="1060" spans="11:11">
      <c r="K1060" s="3"/>
    </row>
    <row r="1061" spans="11:11">
      <c r="K1061" s="3"/>
    </row>
    <row r="1062" spans="11:11">
      <c r="K1062" s="3"/>
    </row>
    <row r="1063" spans="11:11">
      <c r="K1063" s="3"/>
    </row>
    <row r="1064" spans="11:11">
      <c r="K1064" s="3"/>
    </row>
    <row r="1065" spans="11:11">
      <c r="K1065" s="3"/>
    </row>
    <row r="1066" spans="11:11">
      <c r="K1066" s="3"/>
    </row>
    <row r="1067" spans="11:11">
      <c r="K1067" s="3"/>
    </row>
    <row r="1068" spans="11:11">
      <c r="K1068" s="3"/>
    </row>
    <row r="1069" spans="11:11">
      <c r="K1069" s="3"/>
    </row>
    <row r="1070" spans="11:11">
      <c r="K1070" s="3"/>
    </row>
    <row r="1071" spans="11:11">
      <c r="K1071" s="3"/>
    </row>
    <row r="1072" spans="11:11">
      <c r="K1072" s="3"/>
    </row>
    <row r="1073" spans="11:21">
      <c r="K1073" s="3"/>
    </row>
    <row r="1074" spans="11:21">
      <c r="K1074" s="3"/>
    </row>
    <row r="1075" spans="11:21">
      <c r="K1075" s="3"/>
    </row>
    <row r="1076" spans="11:21">
      <c r="K1076" s="3"/>
      <c r="S1076" s="1"/>
      <c r="T1076" s="1"/>
      <c r="U1076" s="1"/>
    </row>
    <row r="1077" spans="11:21">
      <c r="K1077" s="3"/>
      <c r="S1077" s="1"/>
      <c r="T1077" s="1"/>
      <c r="U1077" s="1"/>
    </row>
    <row r="1078" spans="11:21">
      <c r="K1078" s="3"/>
      <c r="S1078" s="1"/>
      <c r="T1078" s="1"/>
      <c r="U1078" s="1"/>
    </row>
    <row r="1079" spans="11:21">
      <c r="K1079" s="3"/>
      <c r="S1079" s="1"/>
      <c r="T1079" s="1"/>
      <c r="U1079" s="1"/>
    </row>
    <row r="1080" spans="11:21">
      <c r="K1080" s="3"/>
      <c r="S1080" s="1"/>
      <c r="T1080" s="1"/>
      <c r="U1080" s="1"/>
    </row>
    <row r="1081" spans="11:21">
      <c r="K1081" s="3"/>
      <c r="S1081" s="1"/>
      <c r="T1081" s="1"/>
      <c r="U1081" s="1"/>
    </row>
    <row r="1082" spans="11:21">
      <c r="K1082" s="3"/>
      <c r="S1082" s="1"/>
      <c r="T1082" s="1"/>
      <c r="U1082" s="1"/>
    </row>
    <row r="1083" spans="11:21">
      <c r="K1083" s="3"/>
      <c r="S1083" s="1"/>
      <c r="T1083" s="1"/>
      <c r="U1083" s="1"/>
    </row>
    <row r="1084" spans="11:21">
      <c r="K1084" s="3"/>
      <c r="S1084" s="1"/>
      <c r="T1084" s="1"/>
      <c r="U1084" s="1"/>
    </row>
    <row r="1085" spans="11:21">
      <c r="K1085" s="3"/>
      <c r="S1085" s="1"/>
      <c r="T1085" s="1"/>
      <c r="U1085" s="1"/>
    </row>
    <row r="1086" spans="11:21">
      <c r="K1086" s="3"/>
      <c r="S1086" s="1"/>
      <c r="T1086" s="1"/>
      <c r="U1086" s="1"/>
    </row>
    <row r="1087" spans="11:21">
      <c r="K1087" s="3"/>
      <c r="S1087" s="1"/>
      <c r="T1087" s="1"/>
      <c r="U1087" s="1"/>
    </row>
    <row r="1088" spans="11:21">
      <c r="K1088" s="3"/>
      <c r="S1088" s="1"/>
      <c r="T1088" s="1"/>
      <c r="U1088" s="1"/>
    </row>
    <row r="1089" spans="11:21">
      <c r="K1089" s="3"/>
      <c r="S1089" s="1"/>
      <c r="T1089" s="1"/>
      <c r="U1089" s="1"/>
    </row>
    <row r="1090" spans="11:21">
      <c r="K1090" s="3"/>
      <c r="S1090" s="1"/>
      <c r="T1090" s="1"/>
      <c r="U1090" s="1"/>
    </row>
    <row r="1091" spans="11:21">
      <c r="K1091" s="3"/>
      <c r="S1091" s="1"/>
      <c r="T1091" s="1"/>
      <c r="U1091" s="1"/>
    </row>
    <row r="1092" spans="11:21">
      <c r="K1092" s="3"/>
      <c r="S1092" s="1"/>
      <c r="T1092" s="1"/>
      <c r="U1092" s="1"/>
    </row>
    <row r="1093" spans="11:21">
      <c r="K1093" s="3"/>
      <c r="S1093" s="1"/>
      <c r="T1093" s="1"/>
      <c r="U1093" s="1"/>
    </row>
    <row r="1094" spans="11:21">
      <c r="K1094" s="3"/>
      <c r="S1094" s="1"/>
      <c r="T1094" s="1"/>
      <c r="U1094" s="1"/>
    </row>
    <row r="1095" spans="11:21">
      <c r="K1095" s="3"/>
      <c r="S1095" s="1"/>
      <c r="T1095" s="1"/>
      <c r="U1095" s="1"/>
    </row>
    <row r="1096" spans="11:21">
      <c r="K1096" s="3"/>
      <c r="S1096" s="1"/>
      <c r="T1096" s="1"/>
      <c r="U1096" s="1"/>
    </row>
    <row r="1097" spans="11:21">
      <c r="K1097" s="3"/>
      <c r="S1097" s="1"/>
      <c r="T1097" s="1"/>
      <c r="U1097" s="1"/>
    </row>
    <row r="1098" spans="11:21">
      <c r="K1098" s="3"/>
      <c r="S1098" s="1"/>
      <c r="T1098" s="1"/>
      <c r="U1098" s="1"/>
    </row>
    <row r="1099" spans="11:21">
      <c r="K1099" s="3"/>
      <c r="S1099" s="1"/>
      <c r="T1099" s="1"/>
      <c r="U1099" s="1"/>
    </row>
    <row r="1100" spans="11:21">
      <c r="K1100" s="3"/>
    </row>
    <row r="1101" spans="11:21">
      <c r="K1101" s="3"/>
    </row>
    <row r="1102" spans="11:21">
      <c r="K1102" s="3"/>
    </row>
    <row r="1103" spans="11:21">
      <c r="K1103" s="3"/>
    </row>
    <row r="1104" spans="11:21">
      <c r="K1104" s="3"/>
    </row>
    <row r="1105" spans="11:11">
      <c r="K1105" s="3"/>
    </row>
    <row r="1106" spans="11:11">
      <c r="K1106" s="3"/>
    </row>
    <row r="1107" spans="11:11">
      <c r="K1107" s="3"/>
    </row>
    <row r="1108" spans="11:11">
      <c r="K1108" s="3"/>
    </row>
    <row r="1109" spans="11:11">
      <c r="K1109" s="3"/>
    </row>
    <row r="1110" spans="11:11">
      <c r="K1110" s="3"/>
    </row>
    <row r="1111" spans="11:11">
      <c r="K1111" s="3"/>
    </row>
    <row r="1112" spans="11:11">
      <c r="K1112" s="3"/>
    </row>
    <row r="1113" spans="11:11">
      <c r="K1113" s="3"/>
    </row>
    <row r="1114" spans="11:11">
      <c r="K1114" s="3"/>
    </row>
    <row r="1115" spans="11:11">
      <c r="K1115" s="3"/>
    </row>
    <row r="1116" spans="11:11">
      <c r="K1116" s="3"/>
    </row>
    <row r="1117" spans="11:11">
      <c r="K1117" s="3"/>
    </row>
    <row r="1118" spans="11:11">
      <c r="K1118" s="3"/>
    </row>
    <row r="1119" spans="11:11">
      <c r="K1119" s="3"/>
    </row>
    <row r="1120" spans="11:11">
      <c r="K1120" s="3"/>
    </row>
    <row r="1121" spans="11:11">
      <c r="K1121" s="3"/>
    </row>
    <row r="1122" spans="11:11">
      <c r="K1122" s="3"/>
    </row>
    <row r="1123" spans="11:11">
      <c r="K1123" s="3"/>
    </row>
    <row r="1124" spans="11:11">
      <c r="K1124" s="3"/>
    </row>
    <row r="1125" spans="11:11">
      <c r="K1125" s="3"/>
    </row>
    <row r="1126" spans="11:11">
      <c r="K1126" s="3"/>
    </row>
    <row r="1127" spans="11:11">
      <c r="K1127" s="3"/>
    </row>
    <row r="1128" spans="11:11">
      <c r="K1128" s="3"/>
    </row>
    <row r="1129" spans="11:11">
      <c r="K1129" s="3"/>
    </row>
    <row r="1130" spans="11:11">
      <c r="K1130" s="3"/>
    </row>
    <row r="1131" spans="11:11">
      <c r="K1131" s="3"/>
    </row>
    <row r="1132" spans="11:11">
      <c r="K1132" s="3"/>
    </row>
    <row r="1133" spans="11:11">
      <c r="K1133" s="3"/>
    </row>
    <row r="1134" spans="11:11">
      <c r="K1134" s="3"/>
    </row>
    <row r="1135" spans="11:11">
      <c r="K1135" s="3"/>
    </row>
    <row r="1136" spans="11:11">
      <c r="K1136" s="3"/>
    </row>
    <row r="1139" spans="11:11">
      <c r="K1139" s="3"/>
    </row>
    <row r="1140" spans="11:11">
      <c r="K1140" s="3"/>
    </row>
    <row r="1141" spans="11:11">
      <c r="K1141" s="3"/>
    </row>
    <row r="1142" spans="11:11">
      <c r="K1142" s="3"/>
    </row>
    <row r="1143" spans="11:11">
      <c r="K1143" s="3"/>
    </row>
    <row r="1144" spans="11:11">
      <c r="K1144" s="3"/>
    </row>
    <row r="1145" spans="11:11">
      <c r="K1145" s="3"/>
    </row>
    <row r="1146" spans="11:11">
      <c r="K1146" s="3"/>
    </row>
    <row r="1147" spans="11:11">
      <c r="K1147" s="3"/>
    </row>
    <row r="1148" spans="11:11">
      <c r="K1148" s="3"/>
    </row>
    <row r="1149" spans="11:11">
      <c r="K1149" s="3"/>
    </row>
    <row r="1150" spans="11:11">
      <c r="K1150" s="3"/>
    </row>
    <row r="1151" spans="11:11">
      <c r="K1151" s="3"/>
    </row>
    <row r="1152" spans="11:11">
      <c r="K1152" s="3"/>
    </row>
    <row r="1153" spans="11:11">
      <c r="K1153" s="3"/>
    </row>
    <row r="1154" spans="11:11">
      <c r="K1154" s="3"/>
    </row>
    <row r="1155" spans="11:11">
      <c r="K1155" s="3"/>
    </row>
    <row r="1156" spans="11:11">
      <c r="K1156" s="3"/>
    </row>
    <row r="1157" spans="11:11">
      <c r="K1157" s="3"/>
    </row>
    <row r="1158" spans="11:11">
      <c r="K1158" s="3"/>
    </row>
    <row r="1159" spans="11:11">
      <c r="K1159" s="3"/>
    </row>
    <row r="1160" spans="11:11">
      <c r="K1160" s="3"/>
    </row>
    <row r="1161" spans="11:11">
      <c r="K1161" s="3"/>
    </row>
    <row r="1162" spans="11:11">
      <c r="K1162" s="3"/>
    </row>
    <row r="1163" spans="11:11">
      <c r="K1163" s="3"/>
    </row>
    <row r="1164" spans="11:11">
      <c r="K1164" s="3"/>
    </row>
    <row r="1165" spans="11:11">
      <c r="K1165" s="3"/>
    </row>
    <row r="1166" spans="11:11">
      <c r="K1166" s="3"/>
    </row>
    <row r="1167" spans="11:11">
      <c r="K1167" s="3"/>
    </row>
    <row r="1168" spans="11:11">
      <c r="K1168" s="3"/>
    </row>
    <row r="1169" spans="11:11">
      <c r="K1169" s="3"/>
    </row>
    <row r="1170" spans="11:11">
      <c r="K1170" s="3"/>
    </row>
    <row r="1171" spans="11:11">
      <c r="K1171" s="3"/>
    </row>
    <row r="1172" spans="11:11">
      <c r="K1172" s="3"/>
    </row>
    <row r="1173" spans="11:11">
      <c r="K1173" s="3"/>
    </row>
    <row r="1174" spans="11:11">
      <c r="K1174" s="3"/>
    </row>
    <row r="1175" spans="11:11">
      <c r="K1175" s="3"/>
    </row>
    <row r="1176" spans="11:11">
      <c r="K1176" s="3"/>
    </row>
    <row r="1177" spans="11:11">
      <c r="K1177" s="3"/>
    </row>
    <row r="1178" spans="11:11">
      <c r="K1178" s="3"/>
    </row>
    <row r="1179" spans="11:11">
      <c r="K1179" s="3"/>
    </row>
    <row r="1180" spans="11:11">
      <c r="K1180" s="3"/>
    </row>
    <row r="1181" spans="11:11">
      <c r="K1181" s="3"/>
    </row>
    <row r="1182" spans="11:11">
      <c r="K1182" s="3"/>
    </row>
    <row r="1183" spans="11:11">
      <c r="K1183" s="3"/>
    </row>
    <row r="1184" spans="11:11">
      <c r="K1184" s="3"/>
    </row>
    <row r="1185" spans="11:11">
      <c r="K1185" s="3"/>
    </row>
    <row r="1186" spans="11:11">
      <c r="K1186" s="3"/>
    </row>
    <row r="1187" spans="11:11">
      <c r="K1187" s="3"/>
    </row>
    <row r="1188" spans="11:11">
      <c r="K1188" s="3"/>
    </row>
    <row r="1189" spans="11:11">
      <c r="K1189" s="3"/>
    </row>
    <row r="1190" spans="11:11">
      <c r="K1190" s="3"/>
    </row>
    <row r="1191" spans="11:11">
      <c r="K1191" s="3"/>
    </row>
    <row r="1192" spans="11:11">
      <c r="K1192" s="3"/>
    </row>
    <row r="1193" spans="11:11">
      <c r="K1193" s="3"/>
    </row>
    <row r="1194" spans="11:11">
      <c r="K1194" s="3"/>
    </row>
    <row r="1195" spans="11:11">
      <c r="K1195" s="3"/>
    </row>
    <row r="1196" spans="11:11">
      <c r="K1196" s="3"/>
    </row>
    <row r="1197" spans="11:11">
      <c r="K1197" s="3"/>
    </row>
    <row r="1198" spans="11:11">
      <c r="K1198" s="3"/>
    </row>
    <row r="1199" spans="11:11">
      <c r="K1199" s="3"/>
    </row>
    <row r="1200" spans="11:11">
      <c r="K1200" s="3"/>
    </row>
    <row r="1201" spans="11:11">
      <c r="K1201" s="3"/>
    </row>
    <row r="1202" spans="11:11">
      <c r="K1202" s="3"/>
    </row>
    <row r="1203" spans="11:11">
      <c r="K1203" s="3"/>
    </row>
    <row r="1204" spans="11:11">
      <c r="K1204" s="3"/>
    </row>
    <row r="1205" spans="11:11">
      <c r="K1205" s="3"/>
    </row>
    <row r="1206" spans="11:11">
      <c r="K1206" s="3"/>
    </row>
    <row r="1207" spans="11:11">
      <c r="K1207" s="3"/>
    </row>
    <row r="1208" spans="11:11">
      <c r="K1208" s="3"/>
    </row>
    <row r="1209" spans="11:11">
      <c r="K1209" s="3"/>
    </row>
    <row r="1210" spans="11:11">
      <c r="K1210" s="3"/>
    </row>
    <row r="1211" spans="11:11">
      <c r="K1211" s="3"/>
    </row>
    <row r="1212" spans="11:11">
      <c r="K1212" s="3"/>
    </row>
    <row r="1213" spans="11:11">
      <c r="K1213" s="3"/>
    </row>
    <row r="1214" spans="11:11">
      <c r="K1214" s="3"/>
    </row>
    <row r="1215" spans="11:11">
      <c r="K1215" s="3"/>
    </row>
    <row r="1218" spans="11:11">
      <c r="K1218" s="3"/>
    </row>
    <row r="1219" spans="11:11">
      <c r="K1219" s="3"/>
    </row>
    <row r="1220" spans="11:11">
      <c r="K1220" s="3"/>
    </row>
    <row r="1221" spans="11:11">
      <c r="K1221" s="3"/>
    </row>
    <row r="1222" spans="11:11">
      <c r="K1222" s="3"/>
    </row>
    <row r="1223" spans="11:11">
      <c r="K1223" s="3"/>
    </row>
    <row r="1224" spans="11:11">
      <c r="K1224" s="3"/>
    </row>
    <row r="1225" spans="11:11">
      <c r="K1225" s="3"/>
    </row>
    <row r="1226" spans="11:11">
      <c r="K1226" s="3"/>
    </row>
    <row r="1227" spans="11:11">
      <c r="K1227" s="3"/>
    </row>
    <row r="1228" spans="11:11">
      <c r="K1228" s="3"/>
    </row>
    <row r="1229" spans="11:11">
      <c r="K1229" s="3"/>
    </row>
    <row r="1230" spans="11:11">
      <c r="K1230" s="3"/>
    </row>
    <row r="1231" spans="11:11">
      <c r="K1231" s="3"/>
    </row>
    <row r="1232" spans="11:11">
      <c r="K1232" s="3"/>
    </row>
    <row r="1233" spans="11:11">
      <c r="K1233" s="3"/>
    </row>
    <row r="1234" spans="11:11">
      <c r="K1234" s="3"/>
    </row>
    <row r="1235" spans="11:11">
      <c r="K1235" s="3"/>
    </row>
    <row r="1236" spans="11:11">
      <c r="K1236" s="3"/>
    </row>
    <row r="1237" spans="11:11">
      <c r="K1237" s="3"/>
    </row>
    <row r="1238" spans="11:11">
      <c r="K1238" s="3"/>
    </row>
    <row r="1239" spans="11:11">
      <c r="K1239" s="3"/>
    </row>
  </sheetData>
  <pageMargins left="0" right="0" top="0" bottom="0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ADD5-1B25-4C62-976B-195331B581E9}">
  <dimension ref="B1:AV929"/>
  <sheetViews>
    <sheetView topLeftCell="A151" zoomScaleNormal="100" workbookViewId="0">
      <selection sqref="A1:H170"/>
    </sheetView>
  </sheetViews>
  <sheetFormatPr defaultRowHeight="15"/>
  <cols>
    <col min="1" max="1" width="2.28515625" customWidth="1"/>
    <col min="2" max="2" width="7" customWidth="1"/>
    <col min="3" max="3" width="29.140625" style="40" customWidth="1"/>
    <col min="4" max="4" width="10.85546875" customWidth="1"/>
    <col min="5" max="5" width="4.5703125" customWidth="1"/>
    <col min="6" max="6" width="10" customWidth="1"/>
    <col min="7" max="7" width="26.42578125" customWidth="1"/>
    <col min="8" max="8" width="9.85546875" customWidth="1"/>
    <col min="9" max="9" width="2.140625" customWidth="1"/>
    <col min="10" max="10" width="9.28515625" customWidth="1"/>
    <col min="11" max="11" width="29.42578125" customWidth="1"/>
    <col min="12" max="12" width="10.42578125" customWidth="1"/>
    <col min="13" max="13" width="4.42578125" customWidth="1"/>
    <col min="14" max="14" width="9.7109375" customWidth="1"/>
    <col min="15" max="15" width="25.28515625" customWidth="1"/>
    <col min="16" max="16" width="10" customWidth="1"/>
    <col min="17" max="17" width="6" customWidth="1"/>
    <col min="18" max="18" width="6.85546875" customWidth="1"/>
    <col min="19" max="19" width="13.5703125" customWidth="1"/>
    <col min="20" max="20" width="7.85546875" customWidth="1"/>
    <col min="21" max="21" width="9.5703125" customWidth="1"/>
    <col min="22" max="22" width="7.28515625" customWidth="1"/>
    <col min="23" max="23" width="11" customWidth="1"/>
    <col min="24" max="24" width="7.42578125" customWidth="1"/>
    <col min="25" max="25" width="8.57031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37" ht="12" customHeight="1">
      <c r="I1" s="650"/>
      <c r="U1" s="2"/>
      <c r="V1" s="2"/>
      <c r="W1" s="48"/>
    </row>
    <row r="2" spans="2:37" ht="14.25" customHeight="1">
      <c r="B2" s="171" t="s">
        <v>860</v>
      </c>
      <c r="G2" s="2"/>
      <c r="H2" s="2"/>
      <c r="I2" s="662"/>
      <c r="J2" s="94"/>
      <c r="K2" s="16"/>
      <c r="L2" s="17"/>
      <c r="O2" s="2"/>
      <c r="P2" s="2"/>
      <c r="S2" s="4"/>
      <c r="T2" s="4"/>
      <c r="U2" s="4"/>
      <c r="V2" s="4"/>
      <c r="X2" s="87"/>
      <c r="Y2" s="347"/>
      <c r="Z2" s="87"/>
      <c r="AA2" s="347"/>
      <c r="AC2" s="48"/>
      <c r="AD2" s="105"/>
    </row>
    <row r="3" spans="2:37" ht="15.75">
      <c r="E3" s="461" t="s">
        <v>174</v>
      </c>
      <c r="F3" s="81"/>
      <c r="I3" s="650"/>
      <c r="J3" s="658"/>
      <c r="K3" s="3"/>
      <c r="L3" s="17"/>
      <c r="N3" s="81"/>
      <c r="R3" s="18"/>
      <c r="U3" s="9"/>
      <c r="W3" s="4"/>
      <c r="X3" s="116"/>
      <c r="Y3" s="140"/>
      <c r="Z3" s="449"/>
      <c r="AA3" s="450"/>
    </row>
    <row r="4" spans="2:37" ht="13.5" customHeight="1" thickBot="1">
      <c r="B4" s="463"/>
      <c r="C4" s="94" t="s">
        <v>514</v>
      </c>
      <c r="F4" s="94" t="s">
        <v>514</v>
      </c>
      <c r="G4" s="2"/>
      <c r="H4" s="81"/>
      <c r="I4" s="663"/>
      <c r="K4" s="169"/>
      <c r="N4" s="2"/>
      <c r="O4" s="2"/>
      <c r="P4" s="81"/>
      <c r="Q4" s="13"/>
      <c r="S4" s="13"/>
      <c r="U4" s="48"/>
      <c r="W4" s="4"/>
      <c r="X4" s="46"/>
      <c r="Y4" s="124"/>
      <c r="Z4" s="169"/>
      <c r="AA4" s="450"/>
    </row>
    <row r="5" spans="2:37" ht="13.5" customHeight="1">
      <c r="B5" s="25" t="s">
        <v>565</v>
      </c>
      <c r="C5" s="83" t="s">
        <v>3</v>
      </c>
      <c r="D5" s="260" t="s">
        <v>4</v>
      </c>
      <c r="F5" s="25" t="s">
        <v>565</v>
      </c>
      <c r="G5" s="870" t="s">
        <v>3</v>
      </c>
      <c r="H5" s="47" t="s">
        <v>4</v>
      </c>
      <c r="I5" s="650"/>
      <c r="J5" s="733"/>
      <c r="K5" s="4"/>
      <c r="L5" s="9"/>
      <c r="N5" s="32"/>
      <c r="O5" s="4"/>
      <c r="P5" s="8"/>
      <c r="Q5" s="13"/>
      <c r="R5" s="94"/>
      <c r="S5" s="16"/>
      <c r="T5" s="17"/>
      <c r="U5" s="48"/>
      <c r="W5" s="4"/>
      <c r="X5" s="8"/>
      <c r="Y5" s="124"/>
      <c r="Z5" s="169"/>
      <c r="AA5" s="450"/>
    </row>
    <row r="6" spans="2:37" ht="13.5" customHeight="1" thickBot="1">
      <c r="B6" s="287" t="s">
        <v>566</v>
      </c>
      <c r="C6"/>
      <c r="D6" s="333" t="s">
        <v>71</v>
      </c>
      <c r="F6" s="287" t="s">
        <v>566</v>
      </c>
      <c r="G6" s="871"/>
      <c r="H6" s="36" t="s">
        <v>71</v>
      </c>
      <c r="I6" s="650"/>
      <c r="J6" s="658"/>
      <c r="K6" s="3"/>
      <c r="L6" s="17"/>
      <c r="N6" s="32"/>
      <c r="P6" s="8"/>
      <c r="Q6" s="13"/>
      <c r="U6" s="48"/>
      <c r="W6" s="4"/>
      <c r="X6" s="8"/>
      <c r="Y6" s="124"/>
      <c r="Z6" s="169"/>
      <c r="AA6" s="450"/>
    </row>
    <row r="7" spans="2:37" ht="16.5" thickBot="1">
      <c r="B7" s="322" t="s">
        <v>146</v>
      </c>
      <c r="C7" s="466"/>
      <c r="D7" s="1558"/>
      <c r="E7" s="16"/>
      <c r="F7" s="868" t="s">
        <v>398</v>
      </c>
      <c r="G7" s="3"/>
      <c r="H7" s="464"/>
      <c r="I7" s="650"/>
      <c r="K7" s="169"/>
      <c r="N7" s="801"/>
      <c r="Q7" s="13"/>
      <c r="U7" s="4"/>
      <c r="W7" s="4"/>
      <c r="X7" s="8"/>
      <c r="Y7" s="124"/>
      <c r="Z7" s="169"/>
      <c r="AA7" s="450"/>
    </row>
    <row r="8" spans="2:37">
      <c r="B8" s="88"/>
      <c r="C8" s="162" t="s">
        <v>199</v>
      </c>
      <c r="D8" s="54"/>
      <c r="E8" s="16"/>
      <c r="F8" s="809"/>
      <c r="G8" s="163" t="s">
        <v>199</v>
      </c>
      <c r="H8" s="130"/>
      <c r="I8" s="664"/>
      <c r="O8" s="169"/>
      <c r="Q8" s="13"/>
      <c r="U8" s="4"/>
      <c r="W8" s="4"/>
      <c r="X8" s="32"/>
      <c r="Y8" s="124"/>
      <c r="Z8" s="169"/>
      <c r="AA8" s="450"/>
    </row>
    <row r="9" spans="2:37" ht="15.75" customHeight="1">
      <c r="B9" s="342" t="s">
        <v>842</v>
      </c>
      <c r="C9" s="283" t="s">
        <v>857</v>
      </c>
      <c r="D9" s="166">
        <v>210</v>
      </c>
      <c r="E9" s="155"/>
      <c r="F9" s="1184" t="s">
        <v>630</v>
      </c>
      <c r="G9" s="283" t="s">
        <v>396</v>
      </c>
      <c r="H9" s="332">
        <v>65</v>
      </c>
      <c r="I9" s="665"/>
      <c r="N9" s="32"/>
      <c r="O9" s="4"/>
      <c r="P9" s="9"/>
      <c r="Q9" s="4"/>
      <c r="U9" s="4"/>
      <c r="V9" s="207"/>
      <c r="W9" s="4"/>
      <c r="X9" s="8"/>
      <c r="Y9" s="124"/>
      <c r="Z9" s="169"/>
      <c r="AA9" s="450"/>
    </row>
    <row r="10" spans="2:37" ht="13.5" customHeight="1">
      <c r="B10" s="375" t="s">
        <v>10</v>
      </c>
      <c r="C10" s="241" t="s">
        <v>395</v>
      </c>
      <c r="D10" s="425">
        <v>45</v>
      </c>
      <c r="E10" s="48"/>
      <c r="F10" s="246" t="s">
        <v>17</v>
      </c>
      <c r="G10" s="241" t="s">
        <v>113</v>
      </c>
      <c r="H10" s="239" t="s">
        <v>579</v>
      </c>
      <c r="I10" s="665"/>
      <c r="J10" s="32"/>
      <c r="K10" s="4"/>
      <c r="N10" s="63"/>
      <c r="O10" s="4"/>
      <c r="Q10" s="13"/>
      <c r="U10" s="4"/>
      <c r="W10" s="91"/>
      <c r="X10" s="8"/>
      <c r="Y10" s="124"/>
      <c r="Z10" s="169"/>
      <c r="AA10" s="450"/>
    </row>
    <row r="11" spans="2:37" ht="13.5" customHeight="1">
      <c r="B11" s="246" t="s">
        <v>622</v>
      </c>
      <c r="C11" s="241" t="s">
        <v>104</v>
      </c>
      <c r="D11" s="285">
        <v>200</v>
      </c>
      <c r="E11" s="48"/>
      <c r="F11" s="156" t="s">
        <v>853</v>
      </c>
      <c r="G11" s="283" t="s">
        <v>219</v>
      </c>
      <c r="H11" s="429">
        <v>200</v>
      </c>
      <c r="I11" s="665"/>
      <c r="J11" s="63"/>
      <c r="K11" s="4"/>
      <c r="N11" s="32"/>
      <c r="O11" s="116"/>
      <c r="P11" s="150"/>
      <c r="Q11" s="13"/>
      <c r="U11" s="4"/>
      <c r="W11" s="4"/>
      <c r="X11" s="8"/>
      <c r="Y11" s="142"/>
      <c r="Z11" s="452"/>
      <c r="AA11" s="450"/>
      <c r="AH11" s="137"/>
    </row>
    <row r="12" spans="2:37">
      <c r="B12" s="246" t="s">
        <v>10</v>
      </c>
      <c r="C12" s="241" t="s">
        <v>11</v>
      </c>
      <c r="D12" s="239">
        <v>40</v>
      </c>
      <c r="E12" s="4"/>
      <c r="F12" s="338" t="s">
        <v>10</v>
      </c>
      <c r="G12" s="241" t="s">
        <v>11</v>
      </c>
      <c r="H12" s="239">
        <v>60</v>
      </c>
      <c r="I12" s="650"/>
      <c r="N12" s="32"/>
      <c r="O12" s="13"/>
      <c r="P12" s="150"/>
      <c r="Q12" s="14"/>
      <c r="U12" s="4"/>
      <c r="W12" s="4"/>
      <c r="X12" s="110"/>
      <c r="Y12" s="141"/>
      <c r="Z12" s="169"/>
      <c r="AA12" s="450"/>
    </row>
    <row r="13" spans="2:37" ht="15.75">
      <c r="B13" s="246" t="s">
        <v>10</v>
      </c>
      <c r="C13" s="241" t="s">
        <v>792</v>
      </c>
      <c r="D13" s="239">
        <v>40</v>
      </c>
      <c r="E13" s="4"/>
      <c r="F13" s="338" t="s">
        <v>10</v>
      </c>
      <c r="G13" s="241" t="s">
        <v>792</v>
      </c>
      <c r="H13" s="239">
        <v>40</v>
      </c>
      <c r="I13" s="650"/>
      <c r="N13" s="32"/>
      <c r="O13" s="4"/>
      <c r="P13" s="9"/>
      <c r="Q13" s="4"/>
      <c r="U13" s="4"/>
      <c r="W13" s="91"/>
      <c r="X13" s="20"/>
      <c r="Y13" s="451"/>
      <c r="Z13" s="169"/>
      <c r="AA13" s="450"/>
    </row>
    <row r="14" spans="2:37" ht="14.25" customHeight="1" thickBot="1">
      <c r="B14" s="266" t="s">
        <v>1004</v>
      </c>
      <c r="C14" s="241" t="s">
        <v>1003</v>
      </c>
      <c r="D14" s="239">
        <v>105</v>
      </c>
      <c r="E14" s="48"/>
      <c r="F14" s="1139" t="s">
        <v>582</v>
      </c>
      <c r="G14" s="1136"/>
      <c r="H14" s="1137">
        <f>H9+H11+H12+H13+60+150</f>
        <v>575</v>
      </c>
      <c r="I14" s="664"/>
      <c r="K14" s="40"/>
      <c r="N14" s="32"/>
      <c r="O14" s="4"/>
      <c r="P14" s="9"/>
      <c r="Q14" s="1"/>
      <c r="U14" s="4"/>
      <c r="V14" s="207"/>
      <c r="W14" s="4"/>
      <c r="X14" s="20"/>
      <c r="Y14" s="451"/>
      <c r="Z14" s="169"/>
      <c r="AA14" s="450"/>
      <c r="AJ14" s="13"/>
      <c r="AK14" s="32"/>
    </row>
    <row r="15" spans="2:37" ht="15" customHeight="1" thickBot="1">
      <c r="B15" s="1138" t="s">
        <v>582</v>
      </c>
      <c r="D15" s="1559">
        <f>SUM(D9:D14)</f>
        <v>640</v>
      </c>
      <c r="E15" s="48"/>
      <c r="F15" s="403"/>
      <c r="G15" s="162" t="s">
        <v>152</v>
      </c>
      <c r="H15" s="54"/>
      <c r="I15" s="666"/>
      <c r="J15" s="1481"/>
      <c r="K15" s="40"/>
      <c r="N15" s="63"/>
      <c r="O15" s="169"/>
      <c r="Q15" s="13"/>
      <c r="U15" s="16"/>
      <c r="W15" s="91"/>
      <c r="X15" s="20"/>
      <c r="Y15" s="451"/>
      <c r="Z15" s="169"/>
      <c r="AA15" s="450"/>
      <c r="AE15" s="20"/>
      <c r="AJ15" s="13"/>
      <c r="AK15" s="32"/>
    </row>
    <row r="16" spans="2:37" ht="15.75">
      <c r="B16" s="403"/>
      <c r="C16" s="162" t="s">
        <v>152</v>
      </c>
      <c r="D16" s="54"/>
      <c r="E16" s="4"/>
      <c r="F16" s="1180" t="s">
        <v>631</v>
      </c>
      <c r="G16" s="241" t="s">
        <v>619</v>
      </c>
      <c r="H16" s="239">
        <v>60</v>
      </c>
      <c r="I16" s="667"/>
      <c r="J16" s="63"/>
      <c r="K16" s="169"/>
      <c r="N16" s="63"/>
      <c r="O16" s="4"/>
      <c r="P16" s="150"/>
      <c r="Q16" s="13"/>
      <c r="W16" s="4"/>
      <c r="X16" s="20"/>
      <c r="Y16" s="451"/>
      <c r="Z16" s="169"/>
      <c r="AA16" s="450"/>
      <c r="AJ16" s="13"/>
      <c r="AK16" s="30"/>
    </row>
    <row r="17" spans="2:48" ht="15.75">
      <c r="B17" s="1240" t="s">
        <v>625</v>
      </c>
      <c r="C17" s="283" t="s">
        <v>581</v>
      </c>
      <c r="D17" s="166">
        <v>60</v>
      </c>
      <c r="E17" s="12"/>
      <c r="F17" s="1523" t="s">
        <v>819</v>
      </c>
      <c r="G17" s="241" t="s">
        <v>185</v>
      </c>
      <c r="H17" s="419">
        <v>250</v>
      </c>
      <c r="I17" s="665"/>
      <c r="N17" s="32"/>
      <c r="O17" s="4"/>
      <c r="P17" s="9"/>
      <c r="Q17" s="13"/>
      <c r="W17" s="48"/>
      <c r="X17" s="20"/>
      <c r="Y17" s="451"/>
      <c r="Z17" s="169"/>
      <c r="AA17" s="450"/>
      <c r="AJ17" s="13"/>
      <c r="AK17" s="117"/>
    </row>
    <row r="18" spans="2:48" ht="15.75">
      <c r="B18" s="1241" t="s">
        <v>856</v>
      </c>
      <c r="C18" s="500" t="s">
        <v>854</v>
      </c>
      <c r="D18" s="429">
        <v>250</v>
      </c>
      <c r="E18" s="203"/>
      <c r="F18" s="1523" t="s">
        <v>820</v>
      </c>
      <c r="G18" s="283" t="s">
        <v>415</v>
      </c>
      <c r="H18" s="239">
        <v>190</v>
      </c>
      <c r="I18" s="665"/>
      <c r="J18" s="658"/>
      <c r="N18" s="32"/>
      <c r="O18" s="4"/>
      <c r="P18" s="9"/>
      <c r="Q18" s="13"/>
      <c r="W18" s="48"/>
      <c r="X18" s="20"/>
      <c r="Y18" s="451"/>
      <c r="Z18" s="169"/>
      <c r="AA18" s="450"/>
      <c r="AJ18" s="13"/>
      <c r="AK18" s="32"/>
    </row>
    <row r="19" spans="2:48" ht="15.75">
      <c r="B19" s="962" t="s">
        <v>626</v>
      </c>
      <c r="C19" s="283" t="s">
        <v>855</v>
      </c>
      <c r="D19" s="166">
        <v>200</v>
      </c>
      <c r="E19" s="155"/>
      <c r="F19" s="1524" t="s">
        <v>821</v>
      </c>
      <c r="G19" s="283" t="s">
        <v>339</v>
      </c>
      <c r="H19" s="239">
        <v>200</v>
      </c>
      <c r="I19" s="665"/>
      <c r="N19" s="32"/>
      <c r="O19" s="4"/>
      <c r="P19" s="66"/>
      <c r="U19" s="4"/>
      <c r="V19" s="8"/>
      <c r="W19" s="48"/>
      <c r="X19" s="20"/>
      <c r="Y19" s="451"/>
      <c r="Z19" s="169"/>
      <c r="AA19" s="450"/>
      <c r="AJ19" s="13"/>
    </row>
    <row r="20" spans="2:48" ht="15" customHeight="1">
      <c r="B20" s="245" t="s">
        <v>343</v>
      </c>
      <c r="C20" s="256" t="s">
        <v>344</v>
      </c>
      <c r="D20" s="285" t="s">
        <v>605</v>
      </c>
      <c r="E20" s="4"/>
      <c r="F20" s="246" t="s">
        <v>10</v>
      </c>
      <c r="G20" s="241" t="s">
        <v>11</v>
      </c>
      <c r="H20" s="239">
        <v>70</v>
      </c>
      <c r="I20" s="668"/>
      <c r="N20" s="32"/>
      <c r="O20" s="4"/>
      <c r="P20" s="9"/>
      <c r="W20" s="48"/>
      <c r="X20" s="20"/>
      <c r="Y20" s="451"/>
      <c r="Z20" s="169"/>
      <c r="AA20" s="450"/>
      <c r="AJ20" s="13"/>
      <c r="AK20" s="32"/>
    </row>
    <row r="21" spans="2:48" ht="15.75">
      <c r="B21" s="156" t="s">
        <v>1022</v>
      </c>
      <c r="C21" s="283" t="s">
        <v>1018</v>
      </c>
      <c r="D21" s="166">
        <v>200</v>
      </c>
      <c r="E21" s="4"/>
      <c r="F21" s="246" t="s">
        <v>10</v>
      </c>
      <c r="G21" s="241" t="s">
        <v>792</v>
      </c>
      <c r="H21" s="239">
        <v>50</v>
      </c>
      <c r="I21" s="665"/>
      <c r="N21" s="377"/>
      <c r="O21" s="4"/>
      <c r="P21" s="9"/>
      <c r="W21" s="48"/>
      <c r="X21" s="20"/>
      <c r="Y21" s="451"/>
      <c r="Z21" s="169"/>
      <c r="AA21" s="450"/>
      <c r="AE21" s="20"/>
      <c r="AF21" s="20"/>
      <c r="AG21" s="1"/>
    </row>
    <row r="22" spans="2:48" ht="15.75">
      <c r="B22" s="246" t="s">
        <v>10</v>
      </c>
      <c r="C22" s="241" t="s">
        <v>11</v>
      </c>
      <c r="D22" s="239">
        <v>70</v>
      </c>
      <c r="E22" s="4"/>
      <c r="F22" s="266" t="s">
        <v>1004</v>
      </c>
      <c r="G22" s="241" t="s">
        <v>1009</v>
      </c>
      <c r="H22" s="239">
        <v>120</v>
      </c>
      <c r="I22" s="665"/>
      <c r="N22" s="654"/>
      <c r="O22" s="4"/>
      <c r="P22" s="655"/>
      <c r="Q22" s="140"/>
      <c r="AE22" s="20"/>
      <c r="AF22" s="20"/>
      <c r="AG22" s="1"/>
    </row>
    <row r="23" spans="2:48" ht="14.25" customHeight="1" thickBot="1">
      <c r="B23" s="246" t="s">
        <v>10</v>
      </c>
      <c r="C23" s="241" t="s">
        <v>792</v>
      </c>
      <c r="D23" s="239">
        <v>40</v>
      </c>
      <c r="E23" s="4"/>
      <c r="F23" s="1139" t="s">
        <v>583</v>
      </c>
      <c r="G23" s="1199"/>
      <c r="H23" s="1137">
        <f>SUM(H16:H22)</f>
        <v>940</v>
      </c>
      <c r="I23" s="665"/>
      <c r="AF23" s="20"/>
      <c r="AG23" s="1"/>
    </row>
    <row r="24" spans="2:48" ht="15" customHeight="1" thickBot="1">
      <c r="B24" s="1139" t="s">
        <v>583</v>
      </c>
      <c r="C24" s="1136"/>
      <c r="D24" s="1200">
        <f>D17+D18+D19+D21+D22+D23+90+30</f>
        <v>940</v>
      </c>
      <c r="E24" s="4"/>
      <c r="F24" s="403"/>
      <c r="G24" s="162" t="s">
        <v>324</v>
      </c>
      <c r="H24" s="752"/>
      <c r="I24" s="650"/>
      <c r="O24" s="207"/>
      <c r="X24" s="87"/>
      <c r="Y24" s="136"/>
      <c r="Z24" s="136"/>
      <c r="AA24" s="87"/>
      <c r="AE24" s="20"/>
      <c r="AF24" s="20"/>
      <c r="AG24" s="20"/>
    </row>
    <row r="25" spans="2:48" ht="14.25" customHeight="1">
      <c r="B25" s="403"/>
      <c r="C25" s="162" t="s">
        <v>324</v>
      </c>
      <c r="D25" s="752"/>
      <c r="E25" s="4"/>
      <c r="F25" s="156" t="s">
        <v>325</v>
      </c>
      <c r="G25" s="241" t="s">
        <v>326</v>
      </c>
      <c r="H25" s="285">
        <v>200</v>
      </c>
      <c r="I25" s="650"/>
      <c r="N25" s="32"/>
      <c r="O25" s="4"/>
      <c r="P25" s="8"/>
      <c r="S25" s="40"/>
      <c r="U25" s="46"/>
      <c r="Y25" s="20"/>
      <c r="Z25" s="453"/>
      <c r="AE25" s="20"/>
      <c r="AF25" s="20"/>
      <c r="AG25" s="20"/>
    </row>
    <row r="26" spans="2:48" ht="14.25" customHeight="1">
      <c r="B26" s="246" t="s">
        <v>622</v>
      </c>
      <c r="C26" s="241" t="s">
        <v>104</v>
      </c>
      <c r="D26" s="285">
        <v>200</v>
      </c>
      <c r="E26" s="4"/>
      <c r="F26" s="156" t="s">
        <v>445</v>
      </c>
      <c r="G26" s="283" t="s">
        <v>443</v>
      </c>
      <c r="H26" s="166" t="s">
        <v>533</v>
      </c>
      <c r="I26" s="664"/>
      <c r="K26" s="40"/>
      <c r="N26" s="32"/>
      <c r="P26" s="8"/>
      <c r="Q26" s="66"/>
      <c r="U26" s="46"/>
      <c r="X26" s="20"/>
      <c r="Z26" s="20"/>
      <c r="AE26" s="20"/>
      <c r="AF26" s="20"/>
      <c r="AG26" s="20"/>
    </row>
    <row r="27" spans="2:48" ht="17.25" customHeight="1">
      <c r="B27" s="1184" t="s">
        <v>965</v>
      </c>
      <c r="C27" s="241" t="s">
        <v>964</v>
      </c>
      <c r="D27" s="2376" t="s">
        <v>966</v>
      </c>
      <c r="E27" s="4"/>
      <c r="F27" s="168"/>
      <c r="G27" s="167" t="s">
        <v>444</v>
      </c>
      <c r="H27" s="71"/>
      <c r="I27" s="665"/>
      <c r="N27" s="353"/>
      <c r="O27" s="4"/>
      <c r="P27" s="8"/>
      <c r="Q27" s="124"/>
      <c r="X27" s="20"/>
      <c r="Z27" s="20"/>
      <c r="AE27" s="20"/>
      <c r="AF27" s="20"/>
      <c r="AG27" s="20"/>
    </row>
    <row r="28" spans="2:48" ht="14.25" customHeight="1">
      <c r="B28" s="266" t="s">
        <v>1004</v>
      </c>
      <c r="C28" s="241" t="s">
        <v>1006</v>
      </c>
      <c r="D28" s="239">
        <v>110</v>
      </c>
      <c r="E28" s="91"/>
      <c r="F28" s="246" t="s">
        <v>10</v>
      </c>
      <c r="G28" s="241" t="s">
        <v>11</v>
      </c>
      <c r="H28" s="239">
        <v>40</v>
      </c>
      <c r="I28" s="665"/>
      <c r="J28" s="63"/>
      <c r="K28" s="169"/>
      <c r="O28" s="169"/>
      <c r="Q28" s="142"/>
      <c r="X28" s="20"/>
      <c r="Z28" s="20"/>
      <c r="AE28" s="20"/>
      <c r="AF28" s="454"/>
      <c r="AG28" s="20"/>
    </row>
    <row r="29" spans="2:48" ht="15" customHeight="1" thickBot="1">
      <c r="B29" s="1522"/>
      <c r="C29" s="241"/>
      <c r="D29" s="239"/>
      <c r="E29" s="4"/>
      <c r="F29" s="1139" t="s">
        <v>584</v>
      </c>
      <c r="G29" s="1136"/>
      <c r="H29" s="1137">
        <f>H25+H28+90+30</f>
        <v>360</v>
      </c>
      <c r="I29" s="650"/>
      <c r="N29" s="119"/>
      <c r="O29" s="4"/>
      <c r="P29" s="9"/>
      <c r="Q29" s="142"/>
      <c r="X29" s="20"/>
      <c r="Z29" s="20"/>
      <c r="AE29" s="20"/>
    </row>
    <row r="30" spans="2:48" ht="16.5" customHeight="1" thickBot="1">
      <c r="B30" s="1139" t="s">
        <v>584</v>
      </c>
      <c r="C30" s="1136"/>
      <c r="D30" s="1137">
        <f>D26+D28+15+35</f>
        <v>360</v>
      </c>
      <c r="E30" s="4"/>
      <c r="I30" s="650"/>
      <c r="N30" s="385"/>
      <c r="O30" s="4"/>
      <c r="P30" s="66"/>
      <c r="Q30" s="142"/>
      <c r="S30" s="40"/>
      <c r="X30" s="20"/>
      <c r="Z30" s="20"/>
      <c r="AE30" s="20"/>
      <c r="AF30" s="40"/>
    </row>
    <row r="31" spans="2:48" ht="15" customHeight="1" thickBot="1">
      <c r="B31" s="32"/>
      <c r="C31" s="4"/>
      <c r="D31" s="8"/>
      <c r="E31" s="48"/>
      <c r="I31" s="665"/>
      <c r="N31" s="32"/>
      <c r="O31" s="4"/>
      <c r="P31" s="66"/>
      <c r="AE31" s="210"/>
      <c r="AG31" s="282"/>
      <c r="AK31" s="94"/>
      <c r="AL31" s="16"/>
      <c r="AM31" s="17"/>
      <c r="AN31" s="143"/>
      <c r="AQ31" s="16"/>
      <c r="AT31" s="4"/>
    </row>
    <row r="32" spans="2:48" ht="13.5" customHeight="1" thickBot="1">
      <c r="B32" s="868" t="s">
        <v>412</v>
      </c>
      <c r="C32" s="875"/>
      <c r="D32" s="462"/>
      <c r="F32" s="25" t="s">
        <v>565</v>
      </c>
      <c r="G32" s="83" t="s">
        <v>3</v>
      </c>
      <c r="H32" s="260" t="s">
        <v>4</v>
      </c>
      <c r="I32" s="650"/>
      <c r="N32" s="32"/>
      <c r="O32" s="4"/>
      <c r="P32" s="9"/>
      <c r="U32" s="9"/>
      <c r="X32" s="87"/>
      <c r="Y32" s="347"/>
      <c r="Z32" s="87"/>
      <c r="AA32" s="347"/>
      <c r="AC32" s="48"/>
      <c r="AD32" s="105"/>
      <c r="AE32" s="155"/>
      <c r="AF32" s="87"/>
      <c r="AG32" s="136"/>
      <c r="AL32" s="169"/>
      <c r="AN32" s="155"/>
      <c r="AO32" s="87"/>
      <c r="AP32" s="136"/>
      <c r="AQ32" s="155"/>
      <c r="AR32" s="87"/>
      <c r="AS32" s="136"/>
      <c r="AT32" s="155"/>
      <c r="AU32" s="87"/>
      <c r="AV32" s="136"/>
    </row>
    <row r="33" spans="2:48" ht="15.75" thickBot="1">
      <c r="B33" s="809"/>
      <c r="C33" s="162" t="s">
        <v>199</v>
      </c>
      <c r="D33" s="130"/>
      <c r="F33" s="287" t="s">
        <v>566</v>
      </c>
      <c r="H33" s="333" t="s">
        <v>71</v>
      </c>
      <c r="I33" s="650"/>
      <c r="N33" s="32"/>
      <c r="O33" s="4"/>
      <c r="P33" s="9"/>
      <c r="Q33" s="13"/>
      <c r="U33" s="48"/>
      <c r="W33" s="4"/>
      <c r="X33" s="8"/>
      <c r="Y33" s="142"/>
      <c r="Z33" s="452"/>
      <c r="AA33" s="455"/>
      <c r="AG33" s="32"/>
      <c r="AH33" s="4"/>
      <c r="AI33" s="8"/>
      <c r="AK33" s="32"/>
      <c r="AL33" s="4"/>
      <c r="AM33" s="8"/>
      <c r="AN33" s="48"/>
      <c r="AO33" s="46"/>
      <c r="AP33" s="124"/>
      <c r="AQ33" s="63"/>
      <c r="AR33" s="46"/>
      <c r="AS33" s="124"/>
      <c r="AT33" s="4"/>
      <c r="AU33" s="8"/>
      <c r="AV33" s="124"/>
    </row>
    <row r="34" spans="2:48" ht="12" customHeight="1" thickBot="1">
      <c r="B34" s="1184" t="s">
        <v>625</v>
      </c>
      <c r="C34" s="241" t="s">
        <v>363</v>
      </c>
      <c r="D34" s="239">
        <v>65</v>
      </c>
      <c r="F34" s="876" t="s">
        <v>404</v>
      </c>
      <c r="G34" s="68"/>
      <c r="H34" s="54"/>
      <c r="I34" s="650"/>
      <c r="N34" s="32"/>
      <c r="O34" s="4"/>
      <c r="P34" s="9"/>
      <c r="Q34" s="13"/>
      <c r="U34" s="48"/>
      <c r="W34" s="4"/>
      <c r="X34" s="32"/>
      <c r="Y34" s="137"/>
      <c r="Z34" s="169"/>
      <c r="AA34" s="450"/>
      <c r="AG34" s="32"/>
      <c r="AH34" s="62"/>
      <c r="AI34" s="48"/>
      <c r="AK34" s="32"/>
      <c r="AL34" s="62"/>
      <c r="AM34" s="48"/>
      <c r="AN34" s="48"/>
      <c r="AO34" s="46"/>
      <c r="AP34" s="124"/>
      <c r="AQ34" s="4"/>
      <c r="AR34" s="8"/>
      <c r="AS34" s="142"/>
      <c r="AT34" s="4"/>
      <c r="AU34" s="8"/>
      <c r="AV34" s="142"/>
    </row>
    <row r="35" spans="2:48" ht="15.75" customHeight="1">
      <c r="B35" s="246" t="s">
        <v>211</v>
      </c>
      <c r="C35" s="283" t="s">
        <v>218</v>
      </c>
      <c r="D35" s="239" t="s">
        <v>538</v>
      </c>
      <c r="E35" s="154"/>
      <c r="F35" s="809"/>
      <c r="G35" s="162" t="s">
        <v>199</v>
      </c>
      <c r="H35" s="130"/>
      <c r="I35" s="650"/>
      <c r="N35" s="32"/>
      <c r="O35" s="4"/>
      <c r="Q35" s="13"/>
      <c r="U35" s="48"/>
      <c r="W35" s="4"/>
      <c r="X35" s="8"/>
      <c r="Y35" s="142"/>
      <c r="Z35" s="169"/>
      <c r="AA35" s="450"/>
      <c r="AG35" s="32"/>
      <c r="AH35" s="4"/>
      <c r="AI35" s="8"/>
      <c r="AK35" s="32"/>
      <c r="AL35" s="4"/>
      <c r="AM35" s="8"/>
      <c r="AN35" s="48"/>
      <c r="AO35" s="46"/>
      <c r="AP35" s="124"/>
      <c r="AQ35" s="48"/>
      <c r="AR35" s="46"/>
      <c r="AS35" s="124"/>
      <c r="AT35" s="4"/>
      <c r="AU35" s="8"/>
      <c r="AV35" s="142"/>
    </row>
    <row r="36" spans="2:48">
      <c r="B36" s="156" t="s">
        <v>410</v>
      </c>
      <c r="C36" s="283" t="s">
        <v>128</v>
      </c>
      <c r="D36" s="166" t="s">
        <v>539</v>
      </c>
      <c r="E36" s="154"/>
      <c r="F36" s="407" t="s">
        <v>105</v>
      </c>
      <c r="G36" s="283" t="s">
        <v>400</v>
      </c>
      <c r="H36" s="981" t="s">
        <v>568</v>
      </c>
      <c r="I36" s="664"/>
      <c r="K36" s="40"/>
      <c r="P36" s="46"/>
      <c r="Q36" s="13"/>
      <c r="U36" s="4"/>
      <c r="W36" s="4"/>
      <c r="X36" s="116"/>
      <c r="Y36" s="140"/>
      <c r="Z36" s="169"/>
      <c r="AA36" s="450"/>
      <c r="AG36" s="32"/>
      <c r="AH36" s="13"/>
      <c r="AI36" s="150"/>
      <c r="AK36" s="32"/>
      <c r="AL36" s="13"/>
      <c r="AM36" s="150"/>
      <c r="AN36" s="4"/>
      <c r="AO36" s="32"/>
      <c r="AP36" s="315"/>
      <c r="AQ36" s="48"/>
      <c r="AR36" s="119"/>
      <c r="AS36" s="142"/>
      <c r="AT36" s="4"/>
      <c r="AU36" s="8"/>
      <c r="AV36" s="142"/>
    </row>
    <row r="37" spans="2:48" ht="13.5" customHeight="1">
      <c r="B37" s="407" t="s">
        <v>407</v>
      </c>
      <c r="C37" s="756" t="s">
        <v>541</v>
      </c>
      <c r="D37" s="2521"/>
      <c r="E37" s="155"/>
      <c r="F37" s="168"/>
      <c r="G37" s="167" t="s">
        <v>237</v>
      </c>
      <c r="H37" s="341"/>
      <c r="I37" s="667"/>
      <c r="K37" s="40"/>
      <c r="O37" s="40"/>
      <c r="P37" s="8"/>
      <c r="Q37" s="13"/>
      <c r="U37" s="4"/>
      <c r="W37" s="4"/>
      <c r="X37" s="8"/>
      <c r="Y37" s="142"/>
      <c r="Z37" s="169"/>
      <c r="AA37" s="450"/>
      <c r="AG37" s="32"/>
      <c r="AH37" s="4"/>
      <c r="AI37" s="9"/>
      <c r="AK37" s="32"/>
      <c r="AL37" s="4"/>
      <c r="AM37" s="9"/>
      <c r="AN37" s="16"/>
      <c r="AO37" s="1"/>
      <c r="AP37" s="656"/>
      <c r="AQ37" s="48"/>
      <c r="AR37" s="46"/>
      <c r="AS37" s="141"/>
      <c r="AT37" s="4"/>
      <c r="AU37" s="8"/>
      <c r="AV37" s="142"/>
    </row>
    <row r="38" spans="2:48" ht="12.75" customHeight="1">
      <c r="B38" s="246" t="s">
        <v>9</v>
      </c>
      <c r="C38" s="241" t="s">
        <v>585</v>
      </c>
      <c r="D38" s="239">
        <v>200</v>
      </c>
      <c r="E38" s="4"/>
      <c r="F38" s="246" t="s">
        <v>622</v>
      </c>
      <c r="G38" s="241" t="s">
        <v>104</v>
      </c>
      <c r="H38" s="285">
        <v>200</v>
      </c>
      <c r="I38" s="665"/>
      <c r="K38" s="40"/>
      <c r="N38" s="32"/>
      <c r="O38" s="4"/>
      <c r="Q38" s="4"/>
      <c r="U38" s="4"/>
      <c r="W38" s="4"/>
      <c r="X38" s="32"/>
      <c r="Y38" s="142"/>
      <c r="Z38" s="169"/>
      <c r="AA38" s="450"/>
      <c r="AF38" s="456"/>
      <c r="AG38" s="32"/>
      <c r="AH38" s="4"/>
      <c r="AI38" s="9"/>
      <c r="AK38" s="32"/>
      <c r="AL38" s="4"/>
      <c r="AM38" s="9"/>
      <c r="AN38" s="4"/>
      <c r="AO38" s="46"/>
      <c r="AP38" s="124"/>
      <c r="AQ38" s="48"/>
      <c r="AR38" s="46"/>
      <c r="AS38" s="141"/>
      <c r="AT38" s="4"/>
      <c r="AU38" s="32"/>
      <c r="AV38" s="142"/>
    </row>
    <row r="39" spans="2:48" ht="12.75" customHeight="1">
      <c r="B39" s="246" t="s">
        <v>10</v>
      </c>
      <c r="C39" s="241" t="s">
        <v>11</v>
      </c>
      <c r="D39" s="239">
        <v>50</v>
      </c>
      <c r="E39" s="48"/>
      <c r="F39" s="1180" t="s">
        <v>322</v>
      </c>
      <c r="G39" s="241" t="s">
        <v>309</v>
      </c>
      <c r="H39" s="239">
        <v>10</v>
      </c>
      <c r="I39" s="665"/>
      <c r="K39" s="40"/>
      <c r="N39" s="32"/>
      <c r="P39" s="48"/>
      <c r="Q39" s="13"/>
      <c r="U39" s="4"/>
      <c r="W39" s="4"/>
      <c r="X39" s="8"/>
      <c r="Y39" s="142"/>
      <c r="Z39" s="169"/>
      <c r="AA39" s="450"/>
      <c r="AF39" s="63"/>
      <c r="AG39" s="46"/>
      <c r="AH39" s="3"/>
      <c r="AK39" s="33"/>
      <c r="AL39" s="4"/>
      <c r="AM39" s="9"/>
      <c r="AQ39" s="48"/>
      <c r="AR39" s="46"/>
      <c r="AS39" s="141"/>
      <c r="AT39" s="12"/>
    </row>
    <row r="40" spans="2:48" ht="15.75">
      <c r="B40" s="246" t="s">
        <v>10</v>
      </c>
      <c r="C40" s="241" t="s">
        <v>792</v>
      </c>
      <c r="D40" s="166">
        <v>30</v>
      </c>
      <c r="E40" s="4"/>
      <c r="F40" s="246" t="s">
        <v>10</v>
      </c>
      <c r="G40" s="241" t="s">
        <v>11</v>
      </c>
      <c r="H40" s="285">
        <v>30</v>
      </c>
      <c r="I40" s="665"/>
      <c r="N40" s="801"/>
      <c r="P40" s="8"/>
      <c r="Q40" s="13"/>
      <c r="U40" s="4"/>
      <c r="W40" s="4"/>
      <c r="X40" s="8"/>
      <c r="Y40" s="142"/>
      <c r="Z40" s="169"/>
      <c r="AA40" s="450"/>
      <c r="AJ40" s="13"/>
      <c r="AL40" s="40"/>
      <c r="AN40" s="19"/>
      <c r="AQ40" s="4"/>
      <c r="AR40" s="8"/>
      <c r="AS40" s="142"/>
      <c r="AT40" s="155"/>
      <c r="AU40" s="87"/>
      <c r="AV40" s="136"/>
    </row>
    <row r="41" spans="2:48" ht="16.5" thickBot="1">
      <c r="B41" s="1138" t="s">
        <v>582</v>
      </c>
      <c r="C41"/>
      <c r="D41" s="2596">
        <f>D34+D38+D39+D40+110+10+110+70</f>
        <v>645</v>
      </c>
      <c r="E41" s="91"/>
      <c r="F41" s="266" t="s">
        <v>1004</v>
      </c>
      <c r="G41" s="241" t="s">
        <v>1009</v>
      </c>
      <c r="H41" s="239">
        <v>130</v>
      </c>
      <c r="I41" s="650"/>
      <c r="J41" s="63"/>
      <c r="K41" s="169"/>
      <c r="L41" s="3"/>
      <c r="O41" s="169"/>
      <c r="P41" s="8"/>
      <c r="Q41" s="14"/>
      <c r="U41" s="4"/>
      <c r="W41" s="91"/>
      <c r="X41" s="20"/>
      <c r="Y41" s="451"/>
      <c r="Z41" s="452"/>
      <c r="AA41" s="450"/>
      <c r="AJ41" s="13"/>
      <c r="AK41" s="63"/>
      <c r="AL41" s="169"/>
      <c r="AN41" s="155"/>
      <c r="AO41" s="87"/>
      <c r="AP41" s="136"/>
      <c r="AT41" s="4"/>
      <c r="AU41" s="8"/>
      <c r="AV41" s="142"/>
    </row>
    <row r="42" spans="2:48" ht="13.5" customHeight="1" thickBot="1">
      <c r="B42" s="2597" t="s">
        <v>636</v>
      </c>
      <c r="C42" s="2598" t="s">
        <v>152</v>
      </c>
      <c r="D42" s="54"/>
      <c r="E42" s="4"/>
      <c r="F42" s="1139" t="s">
        <v>582</v>
      </c>
      <c r="G42" s="1136"/>
      <c r="H42" s="1137">
        <f>H38+H39+H40+H41+195+5</f>
        <v>570</v>
      </c>
      <c r="I42" s="664"/>
      <c r="N42" s="32"/>
      <c r="O42" s="4"/>
      <c r="P42" s="8"/>
      <c r="Q42" s="13"/>
      <c r="U42" s="4"/>
      <c r="W42" s="4"/>
      <c r="X42" s="20"/>
      <c r="Y42" s="451"/>
      <c r="Z42" s="169"/>
      <c r="AA42" s="450"/>
      <c r="AJ42" s="13"/>
      <c r="AK42" s="63"/>
      <c r="AL42" s="4"/>
      <c r="AM42" s="150"/>
      <c r="AN42" s="4"/>
      <c r="AO42" s="8"/>
      <c r="AP42" s="142"/>
      <c r="AQ42" s="12"/>
      <c r="AT42" s="4"/>
      <c r="AU42" s="8"/>
      <c r="AV42" s="142"/>
    </row>
    <row r="43" spans="2:48" ht="14.25" customHeight="1">
      <c r="B43" s="1522" t="s">
        <v>822</v>
      </c>
      <c r="C43" s="256" t="s">
        <v>688</v>
      </c>
      <c r="D43" s="239">
        <v>60</v>
      </c>
      <c r="E43" s="62"/>
      <c r="F43" s="403"/>
      <c r="G43" s="162" t="s">
        <v>152</v>
      </c>
      <c r="H43" s="54"/>
      <c r="I43" s="665"/>
      <c r="N43" s="63"/>
      <c r="O43" s="4"/>
      <c r="P43" s="8"/>
      <c r="Q43" s="1"/>
      <c r="U43" s="4"/>
      <c r="W43" s="91"/>
      <c r="X43" s="20"/>
      <c r="Y43" s="451"/>
      <c r="Z43" s="169"/>
      <c r="AA43" s="450"/>
      <c r="AJ43" s="13"/>
      <c r="AK43" s="45"/>
      <c r="AL43" s="4"/>
      <c r="AM43" s="9"/>
      <c r="AN43" s="4"/>
      <c r="AO43" s="8"/>
      <c r="AP43" s="142"/>
      <c r="AQ43" s="155"/>
      <c r="AR43" s="87"/>
      <c r="AS43" s="136"/>
      <c r="AT43" s="4"/>
      <c r="AU43" s="8"/>
      <c r="AV43" s="142"/>
    </row>
    <row r="44" spans="2:48" ht="15" customHeight="1">
      <c r="B44" s="246" t="s">
        <v>371</v>
      </c>
      <c r="C44" s="238" t="s">
        <v>191</v>
      </c>
      <c r="D44" s="239">
        <v>250</v>
      </c>
      <c r="E44" s="12"/>
      <c r="F44" s="1184" t="s">
        <v>625</v>
      </c>
      <c r="G44" s="283" t="s">
        <v>581</v>
      </c>
      <c r="H44" s="239">
        <v>60</v>
      </c>
      <c r="I44" s="665"/>
      <c r="N44" s="32"/>
      <c r="O44" s="4"/>
      <c r="P44" s="208"/>
      <c r="Q44" s="62"/>
      <c r="U44" s="16"/>
      <c r="W44" s="4"/>
      <c r="X44" s="20"/>
      <c r="Y44" s="451"/>
      <c r="Z44" s="169"/>
      <c r="AA44" s="450"/>
      <c r="AJ44" s="13"/>
      <c r="AK44" s="45"/>
      <c r="AL44" s="4"/>
      <c r="AM44" s="9"/>
      <c r="AN44" s="62"/>
      <c r="AO44" s="116"/>
      <c r="AP44" s="140"/>
      <c r="AQ44" s="4"/>
      <c r="AR44" s="116"/>
      <c r="AS44" s="140"/>
      <c r="AT44" s="4"/>
      <c r="AU44" s="8"/>
      <c r="AV44" s="142"/>
    </row>
    <row r="45" spans="2:48" ht="14.25" customHeight="1">
      <c r="B45" s="156" t="s">
        <v>333</v>
      </c>
      <c r="C45" s="241" t="s">
        <v>376</v>
      </c>
      <c r="D45" s="166" t="s">
        <v>373</v>
      </c>
      <c r="E45" s="155"/>
      <c r="F45" s="1522" t="s">
        <v>825</v>
      </c>
      <c r="G45" s="241" t="s">
        <v>134</v>
      </c>
      <c r="H45" s="419">
        <v>250</v>
      </c>
      <c r="I45" s="666"/>
      <c r="N45" s="766"/>
      <c r="O45" s="4"/>
      <c r="P45" s="208"/>
      <c r="Q45" s="13"/>
      <c r="W45" s="91"/>
      <c r="X45" s="20"/>
      <c r="Y45" s="451"/>
      <c r="Z45" s="169"/>
      <c r="AA45" s="450"/>
      <c r="AJ45" s="13"/>
      <c r="AL45" s="116"/>
      <c r="AN45" s="4"/>
      <c r="AO45" s="8"/>
      <c r="AP45" s="142"/>
      <c r="AQ45" s="4"/>
      <c r="AR45" s="116"/>
      <c r="AS45" s="140"/>
      <c r="AT45" s="16"/>
    </row>
    <row r="46" spans="2:48" ht="13.5" customHeight="1">
      <c r="B46" s="2587" t="s">
        <v>637</v>
      </c>
      <c r="C46" s="393" t="s">
        <v>334</v>
      </c>
      <c r="D46" s="429">
        <v>180</v>
      </c>
      <c r="E46" s="4"/>
      <c r="F46" s="245" t="s">
        <v>345</v>
      </c>
      <c r="G46" s="336" t="s">
        <v>346</v>
      </c>
      <c r="H46" s="332" t="s">
        <v>765</v>
      </c>
      <c r="I46" s="665"/>
      <c r="N46" s="32"/>
      <c r="O46" s="4"/>
      <c r="P46" s="4"/>
      <c r="Q46" s="13"/>
      <c r="W46" s="4"/>
      <c r="X46" s="20"/>
      <c r="Y46" s="451"/>
      <c r="Z46" s="169"/>
      <c r="AA46" s="450"/>
      <c r="AJ46" s="13"/>
      <c r="AK46" s="32"/>
      <c r="AL46" s="4"/>
      <c r="AM46" s="66"/>
      <c r="AN46" s="62"/>
      <c r="AO46" s="32"/>
      <c r="AP46" s="142"/>
      <c r="AQ46" s="4"/>
      <c r="AR46" s="116"/>
      <c r="AS46" s="140"/>
      <c r="AT46" s="155"/>
      <c r="AU46" s="87"/>
      <c r="AV46" s="136"/>
    </row>
    <row r="47" spans="2:48" ht="15.75">
      <c r="B47" s="168"/>
      <c r="C47" s="241" t="s">
        <v>219</v>
      </c>
      <c r="D47" s="239">
        <v>200</v>
      </c>
      <c r="E47" s="48"/>
      <c r="F47" s="549" t="s">
        <v>1019</v>
      </c>
      <c r="G47" s="756" t="s">
        <v>1018</v>
      </c>
      <c r="H47" s="166">
        <v>200</v>
      </c>
      <c r="I47" s="668"/>
      <c r="J47" s="1"/>
      <c r="K47" s="1"/>
      <c r="L47" s="1"/>
      <c r="N47" s="30"/>
      <c r="O47" s="4"/>
      <c r="P47" s="48"/>
      <c r="Q47" s="13"/>
      <c r="W47" s="48"/>
      <c r="X47" s="20"/>
      <c r="Y47" s="451"/>
      <c r="Z47" s="169"/>
      <c r="AA47" s="450"/>
      <c r="AJ47" s="13"/>
      <c r="AK47" s="45"/>
      <c r="AL47" s="4"/>
      <c r="AM47" s="9"/>
      <c r="AN47" s="4"/>
      <c r="AO47" s="8"/>
      <c r="AP47" s="142"/>
      <c r="AQ47" s="4"/>
      <c r="AR47" s="116"/>
      <c r="AS47" s="140"/>
      <c r="AT47" s="4"/>
      <c r="AU47" s="32"/>
      <c r="AV47" s="315"/>
    </row>
    <row r="48" spans="2:48" ht="14.25" customHeight="1">
      <c r="B48" s="1191" t="s">
        <v>10</v>
      </c>
      <c r="C48" s="241" t="s">
        <v>11</v>
      </c>
      <c r="D48" s="239">
        <v>60</v>
      </c>
      <c r="E48" s="4"/>
      <c r="F48" s="1184" t="s">
        <v>627</v>
      </c>
      <c r="G48" s="2570" t="s">
        <v>640</v>
      </c>
      <c r="H48" s="239">
        <v>30</v>
      </c>
      <c r="I48" s="665"/>
      <c r="K48" s="40"/>
      <c r="N48" s="63"/>
      <c r="O48" s="169"/>
      <c r="P48" s="4"/>
      <c r="W48" s="48"/>
      <c r="X48" s="20"/>
      <c r="Y48" s="451"/>
      <c r="Z48" s="169"/>
      <c r="AA48" s="450"/>
      <c r="AJ48" s="13"/>
      <c r="AK48" s="45"/>
      <c r="AL48" s="4"/>
      <c r="AM48" s="9"/>
      <c r="AN48" s="4"/>
      <c r="AO48" s="8"/>
      <c r="AP48" s="142"/>
      <c r="AQ48" s="91"/>
      <c r="AR48" s="110"/>
      <c r="AS48" s="141"/>
      <c r="AT48" s="48"/>
      <c r="AU48" s="8"/>
      <c r="AV48" s="137"/>
    </row>
    <row r="49" spans="2:48" ht="15" customHeight="1">
      <c r="B49" s="289" t="s">
        <v>10</v>
      </c>
      <c r="C49" s="241" t="s">
        <v>792</v>
      </c>
      <c r="D49" s="166">
        <v>40</v>
      </c>
      <c r="E49" s="4"/>
      <c r="F49" s="246" t="s">
        <v>10</v>
      </c>
      <c r="G49" s="241" t="s">
        <v>11</v>
      </c>
      <c r="H49" s="285">
        <v>70</v>
      </c>
      <c r="I49" s="665"/>
      <c r="J49" s="63"/>
      <c r="K49" s="4"/>
      <c r="N49" s="63"/>
      <c r="O49" s="4"/>
      <c r="P49" s="207"/>
      <c r="W49" s="48"/>
      <c r="X49" s="20"/>
      <c r="Y49" s="451"/>
      <c r="Z49" s="169"/>
      <c r="AA49" s="450"/>
      <c r="AJ49" s="13"/>
      <c r="AL49" s="40"/>
      <c r="AN49" s="4"/>
      <c r="AO49" s="8"/>
      <c r="AP49" s="142"/>
      <c r="AQ49" s="91"/>
      <c r="AR49" s="115"/>
      <c r="AS49" s="198"/>
      <c r="AT49" s="4"/>
      <c r="AU49" s="8"/>
      <c r="AV49" s="137"/>
    </row>
    <row r="50" spans="2:48" ht="14.25" customHeight="1">
      <c r="B50" s="266" t="s">
        <v>1004</v>
      </c>
      <c r="C50" s="167" t="s">
        <v>1005</v>
      </c>
      <c r="D50" s="239">
        <v>110</v>
      </c>
      <c r="E50" s="4"/>
      <c r="F50" s="246" t="s">
        <v>10</v>
      </c>
      <c r="G50" s="241" t="s">
        <v>792</v>
      </c>
      <c r="H50" s="239">
        <v>50</v>
      </c>
      <c r="I50" s="665"/>
      <c r="J50" s="1"/>
      <c r="K50" s="1"/>
      <c r="L50" s="1"/>
      <c r="N50" s="55"/>
      <c r="O50" s="4"/>
      <c r="P50" s="134"/>
      <c r="U50" s="4"/>
      <c r="V50" s="8"/>
      <c r="W50" s="48"/>
      <c r="X50" s="20"/>
      <c r="Y50" s="451"/>
      <c r="Z50" s="169"/>
      <c r="AA50" s="450"/>
      <c r="AJ50" s="13"/>
      <c r="AL50" s="40"/>
      <c r="AN50" s="4"/>
      <c r="AO50" s="8"/>
      <c r="AP50" s="142"/>
      <c r="AQ50" s="4"/>
      <c r="AR50" s="8"/>
      <c r="AS50" s="142"/>
      <c r="AT50" s="657"/>
    </row>
    <row r="51" spans="2:48" ht="14.25" customHeight="1" thickBot="1">
      <c r="B51" s="1141" t="s">
        <v>583</v>
      </c>
      <c r="C51" s="1144"/>
      <c r="D51" s="570">
        <f>D43+D44+D46+D47+D48+D49+D50+50+50</f>
        <v>1000</v>
      </c>
      <c r="E51" s="91"/>
      <c r="F51" s="1139" t="s">
        <v>583</v>
      </c>
      <c r="G51" s="1197"/>
      <c r="H51" s="1137">
        <f>H44+H45+H47+H49+H50+45+150+H48</f>
        <v>855</v>
      </c>
      <c r="I51" s="650"/>
      <c r="J51" s="32"/>
      <c r="K51" s="4"/>
      <c r="L51" s="44"/>
      <c r="N51" s="32"/>
      <c r="O51" s="116"/>
      <c r="P51" s="124"/>
      <c r="W51" s="48"/>
      <c r="X51" s="20"/>
      <c r="Y51" s="451"/>
      <c r="Z51" s="169"/>
      <c r="AA51" s="450"/>
      <c r="AJ51" s="13"/>
      <c r="AL51" s="40"/>
      <c r="AN51" s="4"/>
      <c r="AO51" s="32"/>
      <c r="AP51" s="137"/>
      <c r="AT51" s="183"/>
      <c r="AU51" s="183"/>
      <c r="AV51" s="124"/>
    </row>
    <row r="52" spans="2:48">
      <c r="B52" s="403"/>
      <c r="C52" s="162" t="s">
        <v>324</v>
      </c>
      <c r="D52" s="752"/>
      <c r="E52" s="91"/>
      <c r="F52" s="403"/>
      <c r="G52" s="162" t="s">
        <v>324</v>
      </c>
      <c r="H52" s="752"/>
      <c r="I52" s="664"/>
      <c r="J52" s="32"/>
      <c r="K52" s="4"/>
      <c r="L52" s="9"/>
      <c r="N52" s="32"/>
      <c r="O52" s="4"/>
      <c r="P52" s="8"/>
      <c r="Q52" s="142"/>
      <c r="S52" s="40"/>
      <c r="X52" s="4"/>
      <c r="Y52" s="46"/>
      <c r="AJ52" s="13"/>
      <c r="AL52" s="40"/>
      <c r="AN52" s="4"/>
      <c r="AO52" s="116"/>
      <c r="AP52" s="140"/>
      <c r="AQ52" s="343"/>
      <c r="AT52" s="183"/>
      <c r="AU52" s="183"/>
      <c r="AV52" s="124"/>
    </row>
    <row r="53" spans="2:48" ht="13.5" customHeight="1">
      <c r="B53" s="1525" t="s">
        <v>824</v>
      </c>
      <c r="C53" s="241" t="s">
        <v>491</v>
      </c>
      <c r="D53" s="239">
        <v>200</v>
      </c>
      <c r="E53" s="4"/>
      <c r="F53" s="1474" t="s">
        <v>801</v>
      </c>
      <c r="G53" s="241" t="s">
        <v>643</v>
      </c>
      <c r="H53" s="429">
        <v>200</v>
      </c>
      <c r="I53" s="668"/>
      <c r="J53" s="1481"/>
      <c r="K53" s="40"/>
      <c r="L53" s="1140"/>
      <c r="N53" s="32"/>
      <c r="O53" s="4"/>
      <c r="S53" s="40"/>
      <c r="X53" s="4"/>
      <c r="Y53" s="8"/>
      <c r="AJ53" s="13"/>
      <c r="AL53" s="40"/>
      <c r="AN53" s="91"/>
      <c r="AO53" s="8"/>
      <c r="AP53" s="142"/>
      <c r="AQ53" s="155"/>
      <c r="AR53" s="87"/>
      <c r="AS53" s="136"/>
      <c r="AT53" s="46"/>
      <c r="AU53" s="214"/>
      <c r="AV53" s="124"/>
    </row>
    <row r="54" spans="2:48" ht="13.5" customHeight="1">
      <c r="B54" s="156" t="s">
        <v>210</v>
      </c>
      <c r="C54" s="283" t="s">
        <v>967</v>
      </c>
      <c r="D54" s="166">
        <v>100</v>
      </c>
      <c r="F54" s="407" t="s">
        <v>450</v>
      </c>
      <c r="G54" s="283" t="s">
        <v>502</v>
      </c>
      <c r="H54" s="981" t="s">
        <v>534</v>
      </c>
      <c r="I54" s="665"/>
      <c r="J54" s="63"/>
      <c r="K54" s="169"/>
      <c r="L54" s="3"/>
      <c r="O54" s="40"/>
      <c r="S54" s="40"/>
      <c r="X54" s="204"/>
      <c r="Y54" s="205"/>
      <c r="AJ54" s="13"/>
      <c r="AL54" s="40"/>
      <c r="AN54" s="4"/>
      <c r="AO54" s="32"/>
      <c r="AP54" s="142"/>
      <c r="AQ54" s="4"/>
      <c r="AR54" s="8"/>
      <c r="AS54" s="142"/>
      <c r="AT54" s="183"/>
      <c r="AU54" s="183"/>
      <c r="AV54" s="142"/>
    </row>
    <row r="55" spans="2:48">
      <c r="B55" s="338" t="s">
        <v>10</v>
      </c>
      <c r="C55" s="241" t="s">
        <v>11</v>
      </c>
      <c r="D55" s="239">
        <v>30</v>
      </c>
      <c r="F55" s="61"/>
      <c r="G55" s="756" t="s">
        <v>588</v>
      </c>
      <c r="H55" s="71"/>
      <c r="I55" s="665"/>
      <c r="J55" s="2283"/>
      <c r="K55" s="4"/>
      <c r="L55" s="66"/>
      <c r="O55" s="4"/>
      <c r="S55" s="40"/>
      <c r="X55" s="296"/>
      <c r="Y55" s="297"/>
      <c r="AJ55" s="4"/>
      <c r="AL55" s="40"/>
      <c r="AN55" s="4"/>
      <c r="AO55" s="8"/>
      <c r="AP55" s="142"/>
      <c r="AQ55" s="4"/>
      <c r="AR55" s="8"/>
      <c r="AS55" s="142"/>
      <c r="AT55" s="183"/>
      <c r="AU55" s="183"/>
      <c r="AV55" s="142"/>
    </row>
    <row r="56" spans="2:48" ht="14.25" customHeight="1">
      <c r="B56" s="375" t="s">
        <v>10</v>
      </c>
      <c r="C56" s="241" t="s">
        <v>395</v>
      </c>
      <c r="D56" s="166">
        <v>21</v>
      </c>
      <c r="F56" s="61"/>
      <c r="G56" s="756" t="s">
        <v>589</v>
      </c>
      <c r="H56" s="71"/>
      <c r="I56" s="650"/>
      <c r="J56" s="32"/>
      <c r="K56" s="1519"/>
      <c r="L56" s="66"/>
      <c r="S56" s="40"/>
      <c r="X56" s="8"/>
      <c r="Y56" s="142"/>
      <c r="AJ56" s="4"/>
      <c r="AL56" s="40"/>
      <c r="AN56" s="4"/>
      <c r="AO56" s="8"/>
      <c r="AP56" s="142"/>
      <c r="AQ56" s="4"/>
      <c r="AR56" s="8"/>
      <c r="AS56" s="142"/>
      <c r="AT56" s="8"/>
      <c r="AU56" s="8"/>
      <c r="AV56" s="124"/>
    </row>
    <row r="57" spans="2:48" ht="13.5" customHeight="1" thickBot="1">
      <c r="B57" s="1139" t="s">
        <v>584</v>
      </c>
      <c r="C57" s="1136"/>
      <c r="D57" s="2599">
        <f>SUM(D53:D56)</f>
        <v>351</v>
      </c>
      <c r="F57" s="1139" t="s">
        <v>584</v>
      </c>
      <c r="G57" s="1136"/>
      <c r="H57" s="1137">
        <f>H53+156+24</f>
        <v>380</v>
      </c>
      <c r="I57" s="650"/>
      <c r="J57" s="32"/>
      <c r="K57" s="4"/>
      <c r="L57" s="9"/>
      <c r="O57" s="2"/>
      <c r="S57" s="171"/>
      <c r="X57" s="8"/>
      <c r="Y57" s="142"/>
      <c r="AJ57" s="4"/>
      <c r="AL57" s="40"/>
      <c r="AQ57" s="4"/>
      <c r="AR57" s="8"/>
      <c r="AS57" s="142"/>
      <c r="AT57" s="8"/>
      <c r="AU57" s="8"/>
      <c r="AV57" s="140"/>
    </row>
    <row r="58" spans="2:48" ht="13.5" customHeight="1">
      <c r="I58" s="650"/>
      <c r="J58" s="1481"/>
      <c r="K58" s="40"/>
      <c r="L58" s="1140"/>
      <c r="O58" s="4"/>
      <c r="T58" s="94"/>
      <c r="U58" s="9"/>
      <c r="X58" s="3"/>
      <c r="AH58" s="4"/>
      <c r="AI58" s="4"/>
      <c r="AJ58" s="4"/>
    </row>
    <row r="59" spans="2:48" ht="15" customHeight="1">
      <c r="B59" s="171" t="s">
        <v>860</v>
      </c>
      <c r="G59" s="2"/>
      <c r="H59" s="2"/>
      <c r="I59" s="662"/>
      <c r="J59" s="63"/>
      <c r="K59" s="169"/>
      <c r="L59" s="3"/>
      <c r="O59" s="13"/>
      <c r="P59" s="2"/>
      <c r="Q59" s="13"/>
      <c r="R59" s="2"/>
      <c r="S59" s="2"/>
      <c r="T59" s="81"/>
      <c r="U59" s="48"/>
      <c r="X59" s="87"/>
      <c r="Y59" s="347"/>
      <c r="Z59" s="87"/>
      <c r="AA59" s="347"/>
      <c r="AC59" s="48"/>
      <c r="AD59" s="105"/>
      <c r="AE59" s="32"/>
      <c r="AF59" s="4"/>
      <c r="AG59" s="8"/>
    </row>
    <row r="60" spans="2:48" ht="16.5" customHeight="1">
      <c r="D60" s="353" t="s">
        <v>514</v>
      </c>
      <c r="I60" s="663"/>
      <c r="J60" s="32"/>
      <c r="K60" s="4"/>
      <c r="L60" s="66"/>
      <c r="Q60" s="13"/>
      <c r="R60" s="32"/>
      <c r="S60" s="4"/>
      <c r="T60" s="8"/>
      <c r="U60" s="48"/>
      <c r="X60" s="8"/>
      <c r="Y60" s="137"/>
      <c r="Z60" s="452"/>
      <c r="AA60" s="455"/>
      <c r="AE60" s="201"/>
    </row>
    <row r="61" spans="2:48" ht="17.25" customHeight="1" thickBot="1">
      <c r="C61" s="461" t="s">
        <v>174</v>
      </c>
      <c r="D61" t="s">
        <v>184</v>
      </c>
      <c r="F61" s="81"/>
      <c r="G61" s="461" t="s">
        <v>173</v>
      </c>
      <c r="H61" t="s">
        <v>184</v>
      </c>
      <c r="I61" s="650"/>
      <c r="O61" s="40"/>
      <c r="Q61" s="13"/>
      <c r="R61" s="32"/>
      <c r="T61" s="8"/>
      <c r="U61" s="48"/>
      <c r="X61" s="8"/>
      <c r="Y61" s="137"/>
      <c r="Z61" s="169"/>
      <c r="AA61" s="450"/>
      <c r="AE61" s="155"/>
      <c r="AF61" s="87"/>
      <c r="AG61" s="136"/>
    </row>
    <row r="62" spans="2:48">
      <c r="B62" s="25" t="s">
        <v>565</v>
      </c>
      <c r="C62" s="83" t="s">
        <v>3</v>
      </c>
      <c r="D62" s="260" t="s">
        <v>4</v>
      </c>
      <c r="F62" s="25" t="s">
        <v>565</v>
      </c>
      <c r="G62" s="83" t="s">
        <v>3</v>
      </c>
      <c r="H62" s="260" t="s">
        <v>4</v>
      </c>
      <c r="I62" s="650"/>
      <c r="O62" s="40"/>
      <c r="P62" s="8"/>
      <c r="Q62" s="13"/>
      <c r="U62" s="4"/>
      <c r="X62" s="8"/>
      <c r="Y62" s="137"/>
      <c r="Z62" s="169"/>
      <c r="AA62" s="450"/>
      <c r="AE62" s="4"/>
      <c r="AF62" s="8"/>
      <c r="AG62" s="137"/>
    </row>
    <row r="63" spans="2:48" ht="15.75" thickBot="1">
      <c r="B63" s="287" t="s">
        <v>566</v>
      </c>
      <c r="C63"/>
      <c r="D63" s="333" t="s">
        <v>71</v>
      </c>
      <c r="E63" s="19"/>
      <c r="F63" s="287" t="s">
        <v>566</v>
      </c>
      <c r="H63" s="333" t="s">
        <v>71</v>
      </c>
      <c r="I63" s="650"/>
      <c r="O63" s="40"/>
      <c r="P63" s="8"/>
      <c r="Q63" s="13"/>
      <c r="U63" s="4"/>
      <c r="X63" s="8"/>
      <c r="Y63" s="142"/>
      <c r="Z63" s="169"/>
      <c r="AA63" s="450"/>
      <c r="AE63" s="4"/>
      <c r="AF63" s="8"/>
      <c r="AG63" s="137"/>
    </row>
    <row r="64" spans="2:48" ht="16.5" thickBot="1">
      <c r="B64" s="868" t="s">
        <v>414</v>
      </c>
      <c r="C64" s="68"/>
      <c r="D64" s="54"/>
      <c r="E64" s="19"/>
      <c r="F64" s="322" t="s">
        <v>569</v>
      </c>
      <c r="G64" s="466"/>
      <c r="H64" s="1558"/>
      <c r="I64" s="669"/>
      <c r="O64" s="40"/>
      <c r="P64" s="40"/>
      <c r="U64" s="4"/>
      <c r="X64" s="8"/>
      <c r="Y64" s="137"/>
      <c r="Z64" s="169"/>
      <c r="AA64" s="450"/>
      <c r="AE64" s="4"/>
      <c r="AF64" s="8"/>
      <c r="AG64" s="137"/>
    </row>
    <row r="65" spans="2:37">
      <c r="B65" s="88"/>
      <c r="C65" s="162" t="s">
        <v>199</v>
      </c>
      <c r="D65" s="54"/>
      <c r="E65" s="155"/>
      <c r="F65" s="88"/>
      <c r="G65" s="162" t="s">
        <v>199</v>
      </c>
      <c r="H65" s="54"/>
      <c r="I65" s="670"/>
      <c r="O65" s="40"/>
      <c r="Q65" s="62"/>
      <c r="U65" s="4"/>
      <c r="X65" s="32"/>
      <c r="Y65" s="142"/>
      <c r="Z65" s="169"/>
      <c r="AA65" s="450"/>
      <c r="AE65" s="4"/>
      <c r="AF65" s="8"/>
      <c r="AG65" s="142"/>
    </row>
    <row r="66" spans="2:37">
      <c r="B66" s="477" t="s">
        <v>335</v>
      </c>
      <c r="C66" s="256" t="s">
        <v>971</v>
      </c>
      <c r="D66" s="410">
        <v>60</v>
      </c>
      <c r="E66" s="4"/>
      <c r="F66" s="342" t="s">
        <v>195</v>
      </c>
      <c r="G66" s="424" t="s">
        <v>766</v>
      </c>
      <c r="H66" s="166">
        <v>200</v>
      </c>
      <c r="I66" s="652"/>
      <c r="O66" s="40"/>
      <c r="P66" s="9"/>
      <c r="Q66" s="136"/>
      <c r="U66" s="4"/>
      <c r="X66" s="8"/>
      <c r="Y66" s="137"/>
      <c r="Z66" s="169"/>
      <c r="AA66" s="450"/>
      <c r="AE66" s="4"/>
      <c r="AF66" s="8"/>
      <c r="AG66" s="137"/>
    </row>
    <row r="67" spans="2:37">
      <c r="B67" s="962" t="s">
        <v>203</v>
      </c>
      <c r="C67" s="1099" t="s">
        <v>505</v>
      </c>
      <c r="D67" s="2600">
        <v>100</v>
      </c>
      <c r="E67" s="4"/>
      <c r="F67" s="1184" t="s">
        <v>627</v>
      </c>
      <c r="G67" s="2570" t="s">
        <v>640</v>
      </c>
      <c r="H67" s="239">
        <v>15</v>
      </c>
      <c r="I67" s="651"/>
      <c r="O67" s="40"/>
      <c r="P67" s="9"/>
      <c r="Q67" s="142"/>
      <c r="U67" s="4"/>
      <c r="X67" s="8"/>
      <c r="Y67" s="142"/>
      <c r="Z67" s="169"/>
      <c r="AA67" s="450"/>
      <c r="AE67" s="4"/>
      <c r="AF67" s="32"/>
      <c r="AG67" s="142"/>
    </row>
    <row r="68" spans="2:37">
      <c r="B68" s="156" t="s">
        <v>977</v>
      </c>
      <c r="C68" s="469" t="s">
        <v>379</v>
      </c>
      <c r="D68" s="378">
        <v>180</v>
      </c>
      <c r="E68" s="4"/>
      <c r="F68" s="1474" t="s">
        <v>622</v>
      </c>
      <c r="G68" s="167" t="s">
        <v>104</v>
      </c>
      <c r="H68" s="285">
        <v>200</v>
      </c>
      <c r="I68" s="652"/>
      <c r="O68" s="40"/>
      <c r="P68" s="66"/>
      <c r="Q68" s="124"/>
      <c r="U68" s="4"/>
      <c r="X68" s="110"/>
      <c r="Y68" s="141"/>
      <c r="Z68" s="452"/>
      <c r="AA68" s="450"/>
      <c r="AE68" s="4"/>
      <c r="AF68" s="8"/>
      <c r="AG68" s="137"/>
    </row>
    <row r="69" spans="2:37" ht="12.75" customHeight="1">
      <c r="B69" s="1522" t="s">
        <v>827</v>
      </c>
      <c r="C69" s="283" t="s">
        <v>644</v>
      </c>
      <c r="D69" s="166">
        <v>200</v>
      </c>
      <c r="E69" s="4"/>
      <c r="F69" s="246" t="s">
        <v>10</v>
      </c>
      <c r="G69" s="241" t="s">
        <v>11</v>
      </c>
      <c r="H69" s="239">
        <v>50</v>
      </c>
      <c r="I69" s="649"/>
      <c r="O69" s="40"/>
      <c r="P69" s="9"/>
      <c r="Q69" s="142"/>
      <c r="U69" s="4"/>
      <c r="X69" s="8"/>
      <c r="Y69" s="142"/>
      <c r="Z69" s="169"/>
      <c r="AA69" s="450"/>
      <c r="AE69" s="4"/>
      <c r="AF69" s="8"/>
      <c r="AG69" s="142"/>
    </row>
    <row r="70" spans="2:37" ht="12.75" customHeight="1">
      <c r="B70" s="246" t="s">
        <v>10</v>
      </c>
      <c r="C70" s="241" t="s">
        <v>11</v>
      </c>
      <c r="D70" s="239">
        <v>50</v>
      </c>
      <c r="E70" s="4"/>
      <c r="F70" s="246" t="s">
        <v>10</v>
      </c>
      <c r="G70" s="241" t="s">
        <v>792</v>
      </c>
      <c r="H70" s="239">
        <v>30</v>
      </c>
      <c r="I70" s="652"/>
      <c r="O70" s="40"/>
      <c r="P70" s="66"/>
      <c r="Q70" s="142"/>
      <c r="U70" s="16"/>
      <c r="X70" s="20"/>
      <c r="Y70" s="451"/>
      <c r="Z70" s="169"/>
      <c r="AA70" s="450"/>
      <c r="AE70" s="91"/>
      <c r="AF70" s="110"/>
      <c r="AG70" s="141"/>
    </row>
    <row r="71" spans="2:37" ht="13.5" customHeight="1">
      <c r="B71" s="246" t="s">
        <v>10</v>
      </c>
      <c r="C71" s="241" t="s">
        <v>792</v>
      </c>
      <c r="D71" s="239">
        <v>30</v>
      </c>
      <c r="E71" s="4"/>
      <c r="F71" s="266" t="s">
        <v>1004</v>
      </c>
      <c r="G71" s="241" t="s">
        <v>1003</v>
      </c>
      <c r="H71" s="239">
        <v>100</v>
      </c>
      <c r="I71" s="671"/>
      <c r="O71" s="40"/>
      <c r="X71" s="20"/>
      <c r="Y71" s="451"/>
      <c r="Z71" s="169"/>
      <c r="AA71" s="450"/>
      <c r="AE71" s="4"/>
      <c r="AF71" s="8"/>
      <c r="AG71" s="142"/>
    </row>
    <row r="72" spans="2:37" ht="16.5" thickBot="1">
      <c r="B72" s="1139" t="s">
        <v>582</v>
      </c>
      <c r="C72" s="1136"/>
      <c r="D72" s="1137">
        <f>SUM(D66:D71)</f>
        <v>620</v>
      </c>
      <c r="E72" s="4"/>
      <c r="F72" s="1141" t="s">
        <v>582</v>
      </c>
      <c r="G72" s="687"/>
      <c r="H72" s="1142">
        <f>SUM(H66:H71)</f>
        <v>595</v>
      </c>
      <c r="I72" s="672"/>
      <c r="O72" s="40"/>
      <c r="Q72" s="136"/>
      <c r="U72" s="4"/>
      <c r="X72" s="20"/>
      <c r="Y72" s="451"/>
      <c r="Z72" s="169"/>
      <c r="AA72" s="450"/>
    </row>
    <row r="73" spans="2:37" ht="16.5" thickBot="1">
      <c r="B73" s="403"/>
      <c r="C73" s="162" t="s">
        <v>152</v>
      </c>
      <c r="D73" s="54"/>
      <c r="E73" s="45"/>
      <c r="F73" s="403"/>
      <c r="G73" s="162" t="s">
        <v>152</v>
      </c>
      <c r="H73" s="54"/>
      <c r="I73" s="670"/>
      <c r="O73" s="40"/>
      <c r="P73" s="22"/>
      <c r="Q73" s="124"/>
      <c r="U73" s="4"/>
      <c r="X73" s="20"/>
      <c r="Y73" s="451"/>
      <c r="Z73" s="169"/>
      <c r="AA73" s="450"/>
    </row>
    <row r="74" spans="2:37" ht="15.75">
      <c r="B74" s="2601" t="s">
        <v>645</v>
      </c>
      <c r="C74" s="2602" t="s">
        <v>590</v>
      </c>
      <c r="D74" s="2603">
        <v>60</v>
      </c>
      <c r="E74" s="201"/>
      <c r="F74" s="1240" t="s">
        <v>659</v>
      </c>
      <c r="G74" s="283" t="s">
        <v>658</v>
      </c>
      <c r="H74" s="239">
        <v>60</v>
      </c>
      <c r="I74" s="673"/>
      <c r="O74" s="40"/>
      <c r="P74" s="9"/>
      <c r="U74" s="4"/>
      <c r="V74" s="8"/>
      <c r="X74" s="20"/>
      <c r="Y74" s="451"/>
      <c r="Z74" s="169"/>
      <c r="AA74" s="450"/>
      <c r="AF74" s="32"/>
      <c r="AG74" s="4"/>
      <c r="AH74" s="8"/>
    </row>
    <row r="75" spans="2:37" ht="15.75">
      <c r="B75" s="1522" t="s">
        <v>828</v>
      </c>
      <c r="C75" s="241" t="s">
        <v>194</v>
      </c>
      <c r="D75" s="419">
        <v>250</v>
      </c>
      <c r="E75" s="155"/>
      <c r="F75" s="289" t="s">
        <v>836</v>
      </c>
      <c r="G75" s="241" t="s">
        <v>768</v>
      </c>
      <c r="H75" s="166">
        <v>250</v>
      </c>
      <c r="I75" s="673"/>
      <c r="O75" s="40"/>
      <c r="P75" s="9"/>
      <c r="Q75" s="136"/>
      <c r="X75" s="20"/>
      <c r="Y75" s="451"/>
      <c r="Z75" s="169"/>
      <c r="AA75" s="450"/>
      <c r="AF75" s="32"/>
      <c r="AG75" s="4"/>
      <c r="AH75" s="8"/>
    </row>
    <row r="76" spans="2:37" ht="17.25" customHeight="1">
      <c r="B76" s="478" t="s">
        <v>433</v>
      </c>
      <c r="C76" s="283" t="s">
        <v>489</v>
      </c>
      <c r="D76" s="166">
        <v>100</v>
      </c>
      <c r="E76" s="4"/>
      <c r="F76" s="478" t="s">
        <v>606</v>
      </c>
      <c r="G76" s="256" t="s">
        <v>769</v>
      </c>
      <c r="H76" s="166" t="s">
        <v>608</v>
      </c>
      <c r="I76" s="652"/>
      <c r="O76" s="40"/>
      <c r="P76" s="9"/>
      <c r="Q76" s="142"/>
      <c r="X76" s="20"/>
      <c r="Y76" s="451"/>
      <c r="Z76" s="169"/>
      <c r="AA76" s="450"/>
      <c r="AF76" s="12"/>
    </row>
    <row r="77" spans="2:37" ht="15.75">
      <c r="B77" s="156" t="s">
        <v>490</v>
      </c>
      <c r="C77" s="283" t="s">
        <v>386</v>
      </c>
      <c r="D77" s="755" t="s">
        <v>646</v>
      </c>
      <c r="E77" s="4"/>
      <c r="F77" s="1045" t="s">
        <v>323</v>
      </c>
      <c r="G77" s="1545" t="s">
        <v>610</v>
      </c>
      <c r="H77" s="2284" t="s">
        <v>1028</v>
      </c>
      <c r="I77" s="652"/>
      <c r="O77" s="40"/>
      <c r="P77" s="9"/>
      <c r="Q77" s="142"/>
      <c r="X77" s="20"/>
      <c r="Y77" s="451"/>
      <c r="Z77" s="169"/>
      <c r="AA77" s="450"/>
      <c r="AF77" s="155"/>
      <c r="AG77" s="87"/>
      <c r="AH77" s="136"/>
      <c r="AI77" s="201"/>
    </row>
    <row r="78" spans="2:37" ht="15.75">
      <c r="B78" s="359" t="s">
        <v>829</v>
      </c>
      <c r="C78" s="167" t="s">
        <v>591</v>
      </c>
      <c r="D78" s="341"/>
      <c r="E78" s="4"/>
      <c r="F78" s="404" t="s">
        <v>843</v>
      </c>
      <c r="G78" s="1544" t="s">
        <v>611</v>
      </c>
      <c r="H78" s="71"/>
      <c r="I78" s="652"/>
      <c r="O78" s="40"/>
      <c r="P78" s="9"/>
      <c r="Q78" s="142"/>
      <c r="X78" s="20"/>
      <c r="Y78" s="451"/>
      <c r="Z78" s="169"/>
      <c r="AA78" s="450"/>
      <c r="AF78" s="4"/>
      <c r="AG78" s="8"/>
      <c r="AH78" s="137"/>
      <c r="AI78" s="155"/>
      <c r="AJ78" s="87"/>
      <c r="AK78" s="136"/>
    </row>
    <row r="79" spans="2:37">
      <c r="B79" s="246" t="s">
        <v>9</v>
      </c>
      <c r="C79" s="241" t="s">
        <v>587</v>
      </c>
      <c r="D79" s="166">
        <v>200</v>
      </c>
      <c r="E79" s="4"/>
      <c r="F79" s="246" t="s">
        <v>9</v>
      </c>
      <c r="G79" s="241" t="s">
        <v>151</v>
      </c>
      <c r="H79" s="239">
        <v>200</v>
      </c>
      <c r="I79" s="649"/>
      <c r="O79" s="40"/>
      <c r="P79" s="9"/>
      <c r="Q79" s="142"/>
      <c r="AD79" s="32"/>
      <c r="AE79" s="62"/>
      <c r="AF79" s="4"/>
      <c r="AG79" s="8"/>
      <c r="AH79" s="137"/>
      <c r="AI79" s="4"/>
      <c r="AJ79" s="8"/>
      <c r="AK79" s="137"/>
    </row>
    <row r="80" spans="2:37">
      <c r="B80" s="962" t="s">
        <v>10</v>
      </c>
      <c r="C80" s="241" t="s">
        <v>11</v>
      </c>
      <c r="D80" s="239">
        <v>60</v>
      </c>
      <c r="E80" s="4"/>
      <c r="F80" s="246" t="s">
        <v>10</v>
      </c>
      <c r="G80" s="241" t="s">
        <v>11</v>
      </c>
      <c r="H80" s="239">
        <v>70</v>
      </c>
      <c r="I80" s="649"/>
      <c r="O80" s="40"/>
      <c r="AA80" s="207"/>
      <c r="AD80" s="32"/>
      <c r="AE80" s="4"/>
      <c r="AF80" s="4"/>
      <c r="AG80" s="8"/>
      <c r="AH80" s="137"/>
      <c r="AI80" s="4"/>
      <c r="AJ80" s="8"/>
      <c r="AK80" s="137"/>
    </row>
    <row r="81" spans="2:37">
      <c r="B81" s="246" t="s">
        <v>10</v>
      </c>
      <c r="C81" s="241" t="s">
        <v>792</v>
      </c>
      <c r="D81" s="239">
        <v>40</v>
      </c>
      <c r="E81" s="4"/>
      <c r="F81" s="246" t="s">
        <v>10</v>
      </c>
      <c r="G81" s="241" t="s">
        <v>792</v>
      </c>
      <c r="H81" s="239">
        <v>44</v>
      </c>
      <c r="I81" s="652"/>
      <c r="O81" s="40"/>
      <c r="X81" s="124"/>
      <c r="AF81" s="4"/>
      <c r="AG81" s="350"/>
      <c r="AH81" s="351"/>
      <c r="AI81" s="4"/>
      <c r="AJ81" s="8"/>
      <c r="AK81" s="137"/>
    </row>
    <row r="82" spans="2:37" ht="13.5" customHeight="1" thickBot="1">
      <c r="B82" s="1522" t="s">
        <v>1004</v>
      </c>
      <c r="C82" s="241" t="s">
        <v>1012</v>
      </c>
      <c r="D82" s="378">
        <v>105</v>
      </c>
      <c r="E82" s="91"/>
      <c r="F82" s="1139" t="s">
        <v>583</v>
      </c>
      <c r="G82" s="1197"/>
      <c r="H82" s="1137">
        <f>H74+H75+H79+H80+H81+55+55+110+70</f>
        <v>914</v>
      </c>
      <c r="I82" s="652"/>
      <c r="O82" s="40"/>
      <c r="P82" s="8"/>
      <c r="X82" s="124"/>
      <c r="AF82" s="4"/>
      <c r="AG82" s="350"/>
      <c r="AH82" s="351"/>
      <c r="AI82" s="4"/>
      <c r="AJ82" s="8"/>
      <c r="AK82" s="142"/>
    </row>
    <row r="83" spans="2:37" ht="12.75" customHeight="1" thickBot="1">
      <c r="B83" s="1139" t="s">
        <v>583</v>
      </c>
      <c r="C83" s="1197"/>
      <c r="D83" s="1137">
        <f>D74+D75+D76+D79+D80+D81+D82+155+35</f>
        <v>1005</v>
      </c>
      <c r="E83" s="91"/>
      <c r="F83" s="403"/>
      <c r="G83" s="162" t="s">
        <v>324</v>
      </c>
      <c r="H83" s="752"/>
      <c r="I83" s="650"/>
      <c r="O83" s="40"/>
      <c r="P83" s="8"/>
      <c r="X83" s="124"/>
      <c r="AF83" s="4"/>
      <c r="AG83" s="295"/>
      <c r="AH83" s="137"/>
      <c r="AI83" s="4"/>
      <c r="AJ83" s="8"/>
      <c r="AK83" s="137"/>
    </row>
    <row r="84" spans="2:37">
      <c r="B84" s="403"/>
      <c r="C84" s="162" t="s">
        <v>324</v>
      </c>
      <c r="D84" s="752"/>
      <c r="E84" s="4"/>
      <c r="F84" s="156" t="s">
        <v>682</v>
      </c>
      <c r="G84" s="283" t="s">
        <v>680</v>
      </c>
      <c r="H84" s="285">
        <v>200</v>
      </c>
      <c r="I84" s="650"/>
      <c r="O84" s="40"/>
      <c r="X84" s="124"/>
      <c r="AF84" s="4"/>
      <c r="AG84" s="8"/>
      <c r="AH84" s="137"/>
      <c r="AI84" s="4"/>
      <c r="AJ84" s="32"/>
      <c r="AK84" s="142"/>
    </row>
    <row r="85" spans="2:37">
      <c r="B85" s="1522" t="s">
        <v>830</v>
      </c>
      <c r="C85" s="241" t="s">
        <v>593</v>
      </c>
      <c r="D85" s="429">
        <v>200</v>
      </c>
      <c r="F85" s="376" t="s">
        <v>846</v>
      </c>
      <c r="G85" s="500" t="s">
        <v>678</v>
      </c>
      <c r="H85" s="981" t="s">
        <v>791</v>
      </c>
      <c r="I85" s="650"/>
      <c r="O85" s="40"/>
      <c r="Q85" s="137"/>
      <c r="S85" s="40"/>
      <c r="X85" s="87"/>
      <c r="Y85" s="347"/>
      <c r="Z85" s="87"/>
      <c r="AA85" s="347"/>
      <c r="AC85" s="48"/>
      <c r="AD85" s="105"/>
      <c r="AF85" s="48"/>
      <c r="AG85" s="8"/>
      <c r="AH85" s="124"/>
      <c r="AI85" s="4"/>
      <c r="AJ85" s="8"/>
      <c r="AK85" s="137"/>
    </row>
    <row r="86" spans="2:37" ht="12.75" customHeight="1">
      <c r="B86" s="156" t="s">
        <v>968</v>
      </c>
      <c r="C86" s="2573" t="s">
        <v>969</v>
      </c>
      <c r="D86" s="429">
        <v>100</v>
      </c>
      <c r="F86" s="246" t="s">
        <v>10</v>
      </c>
      <c r="G86" s="241" t="s">
        <v>11</v>
      </c>
      <c r="H86" s="239">
        <v>50</v>
      </c>
      <c r="I86" s="650"/>
      <c r="O86" s="40"/>
      <c r="P86" s="32"/>
      <c r="Q86" s="142"/>
      <c r="R86" s="2"/>
      <c r="S86" s="40"/>
      <c r="W86" s="355"/>
      <c r="X86" s="8"/>
      <c r="Y86" s="142"/>
      <c r="Z86" s="449"/>
      <c r="AA86" s="450"/>
      <c r="AF86" s="4"/>
      <c r="AG86" s="8"/>
      <c r="AH86" s="142"/>
      <c r="AI86" s="4"/>
      <c r="AJ86" s="8"/>
      <c r="AK86" s="142"/>
    </row>
    <row r="87" spans="2:37" ht="13.5" customHeight="1" thickBot="1">
      <c r="B87" s="246" t="s">
        <v>10</v>
      </c>
      <c r="C87" s="241" t="s">
        <v>792</v>
      </c>
      <c r="D87" s="2383">
        <v>50</v>
      </c>
      <c r="F87" s="1139" t="s">
        <v>584</v>
      </c>
      <c r="G87" s="1136"/>
      <c r="H87" s="1137">
        <f>H84+H86+70+30</f>
        <v>350</v>
      </c>
      <c r="I87" s="650"/>
      <c r="K87" s="40"/>
      <c r="O87" s="40"/>
      <c r="R87" s="32"/>
      <c r="S87" s="4"/>
      <c r="T87" s="8"/>
      <c r="W87" s="355"/>
      <c r="X87" s="8"/>
      <c r="Y87" s="142"/>
      <c r="Z87" s="169"/>
      <c r="AA87" s="450"/>
      <c r="AF87" s="4"/>
      <c r="AG87" s="8"/>
      <c r="AH87" s="142"/>
    </row>
    <row r="88" spans="2:37" ht="14.25" customHeight="1" thickBot="1">
      <c r="B88" s="2604" t="s">
        <v>357</v>
      </c>
      <c r="C88" s="2605"/>
      <c r="D88" s="2606">
        <f>SUM(D85:D87)</f>
        <v>350</v>
      </c>
      <c r="I88" s="650"/>
      <c r="K88" s="40"/>
      <c r="O88" s="40"/>
      <c r="P88" s="66"/>
      <c r="R88" s="32"/>
      <c r="T88" s="8"/>
      <c r="U88" s="9"/>
      <c r="W88" s="4"/>
      <c r="X88" s="8"/>
      <c r="Y88" s="142"/>
      <c r="Z88" s="169"/>
      <c r="AA88" s="450"/>
      <c r="AF88" s="4"/>
      <c r="AG88" s="8"/>
      <c r="AH88" s="142"/>
    </row>
    <row r="89" spans="2:37" ht="14.25" customHeight="1">
      <c r="B89" s="801"/>
      <c r="C89" s="461" t="s">
        <v>173</v>
      </c>
      <c r="D89" s="17"/>
      <c r="E89" s="461"/>
      <c r="F89" s="25" t="s">
        <v>565</v>
      </c>
      <c r="G89" s="83" t="s">
        <v>3</v>
      </c>
      <c r="H89" s="260" t="s">
        <v>4</v>
      </c>
      <c r="I89" s="650"/>
      <c r="J89" s="1"/>
      <c r="K89" s="1"/>
      <c r="L89" s="1"/>
      <c r="O89" s="40"/>
      <c r="P89" s="9"/>
      <c r="U89" s="48"/>
      <c r="W89" s="4"/>
      <c r="X89" s="8"/>
      <c r="Y89" s="142"/>
      <c r="Z89" s="169"/>
      <c r="AA89" s="450"/>
      <c r="AF89" s="4"/>
      <c r="AG89" s="46"/>
      <c r="AH89" s="124"/>
    </row>
    <row r="90" spans="2:37" ht="12.75" customHeight="1" thickBot="1">
      <c r="B90" s="353" t="s">
        <v>514</v>
      </c>
      <c r="C90" s="169"/>
      <c r="F90" s="287" t="s">
        <v>566</v>
      </c>
      <c r="H90" s="333" t="s">
        <v>71</v>
      </c>
      <c r="I90" s="652"/>
      <c r="J90" s="658"/>
      <c r="K90" s="40"/>
      <c r="L90" s="17"/>
      <c r="O90" s="40"/>
      <c r="P90" s="9"/>
      <c r="U90" s="48"/>
      <c r="W90" s="91"/>
      <c r="X90" s="356"/>
      <c r="Y90" s="357"/>
      <c r="Z90" s="169"/>
      <c r="AA90" s="450"/>
      <c r="AF90" s="4"/>
      <c r="AG90" s="213"/>
      <c r="AH90" s="352"/>
    </row>
    <row r="91" spans="2:37" ht="13.5" customHeight="1" thickBot="1">
      <c r="B91" s="25" t="s">
        <v>565</v>
      </c>
      <c r="C91" s="83" t="s">
        <v>3</v>
      </c>
      <c r="D91" s="260" t="s">
        <v>4</v>
      </c>
      <c r="F91" s="876" t="s">
        <v>561</v>
      </c>
      <c r="G91" s="960"/>
      <c r="H91" s="464"/>
      <c r="I91" s="650"/>
      <c r="K91" s="169"/>
      <c r="O91" s="40"/>
      <c r="P91" s="9"/>
      <c r="U91" s="48"/>
      <c r="W91" s="91"/>
      <c r="X91" s="110"/>
      <c r="Y91" s="141"/>
      <c r="Z91" s="457"/>
      <c r="AA91" s="450"/>
    </row>
    <row r="92" spans="2:37" ht="16.5" customHeight="1" thickBot="1">
      <c r="B92" s="287" t="s">
        <v>566</v>
      </c>
      <c r="C92"/>
      <c r="D92" s="333" t="s">
        <v>71</v>
      </c>
      <c r="F92" s="88"/>
      <c r="G92" s="162" t="s">
        <v>199</v>
      </c>
      <c r="H92" s="54"/>
      <c r="I92" s="674"/>
      <c r="J92" s="733"/>
      <c r="K92" s="4"/>
      <c r="L92" s="9"/>
      <c r="O92" s="40"/>
      <c r="U92" s="4"/>
      <c r="W92" s="91"/>
      <c r="X92" s="295"/>
      <c r="Y92" s="137"/>
      <c r="Z92" s="169"/>
      <c r="AA92" s="450"/>
    </row>
    <row r="93" spans="2:37" ht="15" customHeight="1" thickBot="1">
      <c r="B93" s="868" t="s">
        <v>560</v>
      </c>
      <c r="C93" s="68"/>
      <c r="D93" s="462"/>
      <c r="F93" s="1184" t="s">
        <v>625</v>
      </c>
      <c r="G93" s="241" t="s">
        <v>406</v>
      </c>
      <c r="H93" s="378">
        <v>60</v>
      </c>
      <c r="I93" s="670"/>
      <c r="J93" s="32"/>
      <c r="K93" s="4"/>
      <c r="L93" s="9"/>
      <c r="P93" s="150"/>
      <c r="U93" s="4"/>
      <c r="W93" s="91"/>
      <c r="X93" s="8"/>
      <c r="Y93" s="137"/>
      <c r="Z93" s="169"/>
      <c r="AA93" s="450"/>
    </row>
    <row r="94" spans="2:37" ht="14.25" customHeight="1">
      <c r="B94" s="809"/>
      <c r="C94" s="163" t="s">
        <v>199</v>
      </c>
      <c r="D94" s="130"/>
      <c r="F94" s="376" t="s">
        <v>329</v>
      </c>
      <c r="G94" s="283" t="s">
        <v>855</v>
      </c>
      <c r="H94" s="166">
        <v>195</v>
      </c>
      <c r="I94" s="652"/>
      <c r="J94" s="63"/>
      <c r="K94" s="116"/>
      <c r="L94" s="66"/>
      <c r="P94" s="9"/>
      <c r="U94" s="4"/>
      <c r="W94" s="48"/>
      <c r="X94" s="8"/>
      <c r="Y94" s="124"/>
      <c r="Z94" s="452"/>
      <c r="AA94" s="450"/>
    </row>
    <row r="95" spans="2:37" ht="13.5" customHeight="1">
      <c r="B95" s="1184" t="s">
        <v>630</v>
      </c>
      <c r="C95" s="283" t="s">
        <v>396</v>
      </c>
      <c r="D95" s="332">
        <v>60</v>
      </c>
      <c r="E95" s="154"/>
      <c r="F95" s="477" t="s">
        <v>547</v>
      </c>
      <c r="G95" s="398" t="s">
        <v>597</v>
      </c>
      <c r="H95" s="429" t="s">
        <v>515</v>
      </c>
      <c r="I95" s="651"/>
      <c r="J95" s="63"/>
      <c r="K95" s="116"/>
      <c r="P95" s="150"/>
      <c r="U95" s="4"/>
      <c r="W95" s="4"/>
      <c r="X95" s="8"/>
      <c r="Y95" s="142"/>
      <c r="Z95" s="169"/>
      <c r="AA95" s="450"/>
      <c r="AH95" s="4"/>
      <c r="AI95" s="4"/>
      <c r="AJ95" s="4"/>
    </row>
    <row r="96" spans="2:37" ht="12.75" customHeight="1">
      <c r="B96" s="1527" t="s">
        <v>820</v>
      </c>
      <c r="C96" s="283" t="s">
        <v>522</v>
      </c>
      <c r="D96" s="166" t="s">
        <v>580</v>
      </c>
      <c r="E96" s="155"/>
      <c r="F96" s="359" t="s">
        <v>832</v>
      </c>
      <c r="G96" s="1099" t="s">
        <v>598</v>
      </c>
      <c r="H96" s="341"/>
      <c r="I96" s="652"/>
      <c r="K96" s="4"/>
      <c r="L96" s="66"/>
      <c r="P96" s="9"/>
      <c r="Q96" s="136"/>
      <c r="U96" s="4"/>
      <c r="W96" s="4"/>
      <c r="X96" s="8"/>
      <c r="Y96" s="142"/>
      <c r="Z96" s="169"/>
      <c r="AA96" s="450"/>
      <c r="AJ96" s="13"/>
      <c r="AK96" s="48"/>
    </row>
    <row r="97" spans="2:37" ht="14.25" customHeight="1">
      <c r="B97" s="359" t="s">
        <v>523</v>
      </c>
      <c r="C97" s="1099" t="s">
        <v>525</v>
      </c>
      <c r="D97" s="341"/>
      <c r="E97" s="48"/>
      <c r="F97" s="2607" t="s">
        <v>811</v>
      </c>
      <c r="G97" s="283" t="s">
        <v>219</v>
      </c>
      <c r="H97" s="429">
        <v>200</v>
      </c>
      <c r="I97" s="652"/>
      <c r="J97" s="32"/>
      <c r="K97" s="4"/>
      <c r="L97" s="9"/>
      <c r="P97" s="9"/>
      <c r="Q97" s="142"/>
      <c r="U97" s="4"/>
      <c r="W97" s="4"/>
      <c r="X97" s="8"/>
      <c r="Y97" s="142"/>
      <c r="Z97" s="169"/>
      <c r="AA97" s="450"/>
      <c r="AJ97" s="13"/>
      <c r="AK97" s="48"/>
    </row>
    <row r="98" spans="2:37">
      <c r="B98" s="2587" t="s">
        <v>807</v>
      </c>
      <c r="C98" s="241" t="s">
        <v>339</v>
      </c>
      <c r="D98" s="981">
        <v>200</v>
      </c>
      <c r="E98" s="48"/>
      <c r="F98" s="246" t="s">
        <v>10</v>
      </c>
      <c r="G98" s="241" t="s">
        <v>11</v>
      </c>
      <c r="H98" s="239">
        <v>40</v>
      </c>
      <c r="I98" s="652"/>
      <c r="J98" s="32"/>
      <c r="K98" s="4"/>
      <c r="L98" s="9"/>
      <c r="P98" s="9"/>
      <c r="Q98" s="137"/>
      <c r="U98" s="4"/>
      <c r="W98" s="91"/>
      <c r="X98" s="213"/>
      <c r="Y98" s="352"/>
      <c r="Z98" s="169"/>
      <c r="AA98" s="450"/>
      <c r="AJ98" s="13"/>
    </row>
    <row r="99" spans="2:37" ht="15" customHeight="1">
      <c r="B99" s="246" t="s">
        <v>10</v>
      </c>
      <c r="C99" s="241" t="s">
        <v>11</v>
      </c>
      <c r="D99" s="239">
        <v>50</v>
      </c>
      <c r="E99" s="4"/>
      <c r="F99" s="246" t="s">
        <v>10</v>
      </c>
      <c r="G99" s="241" t="s">
        <v>792</v>
      </c>
      <c r="H99" s="239">
        <v>30</v>
      </c>
      <c r="I99" s="652"/>
      <c r="J99" s="1481"/>
      <c r="K99" s="40"/>
      <c r="L99" s="1140"/>
      <c r="P99" s="9"/>
      <c r="Q99" s="142"/>
      <c r="U99" s="4"/>
      <c r="V99" s="207"/>
      <c r="W99" s="62"/>
      <c r="X99" s="46"/>
      <c r="Y99" s="124"/>
      <c r="Z99" s="169"/>
      <c r="AA99" s="450"/>
      <c r="AJ99" s="5"/>
    </row>
    <row r="100" spans="2:37" ht="13.5" customHeight="1" thickBot="1">
      <c r="B100" s="246" t="s">
        <v>10</v>
      </c>
      <c r="C100" s="241" t="s">
        <v>792</v>
      </c>
      <c r="D100" s="239">
        <v>30</v>
      </c>
      <c r="E100" s="48"/>
      <c r="F100" s="1139" t="s">
        <v>582</v>
      </c>
      <c r="G100" s="1136"/>
      <c r="H100" s="1137">
        <f>H93+H94+H97+H98+H99+110+10</f>
        <v>645</v>
      </c>
      <c r="I100" s="674"/>
      <c r="P100" s="9"/>
      <c r="Q100" s="142"/>
      <c r="U100" s="16"/>
      <c r="W100" s="4"/>
      <c r="X100" s="8"/>
      <c r="Y100" s="137"/>
      <c r="Z100" s="169"/>
      <c r="AA100" s="450"/>
    </row>
    <row r="101" spans="2:37" ht="15.75" customHeight="1">
      <c r="B101" s="1522" t="s">
        <v>1004</v>
      </c>
      <c r="C101" s="241" t="s">
        <v>1013</v>
      </c>
      <c r="D101" s="239">
        <v>105</v>
      </c>
      <c r="E101" s="4"/>
      <c r="F101" s="403"/>
      <c r="G101" s="162" t="s">
        <v>152</v>
      </c>
      <c r="H101" s="54"/>
      <c r="I101" s="670"/>
      <c r="W101" s="4"/>
      <c r="X101" s="8"/>
      <c r="Y101" s="137"/>
      <c r="Z101" s="169"/>
      <c r="AA101" s="450"/>
      <c r="AE101" s="4"/>
      <c r="AJ101" s="458"/>
    </row>
    <row r="102" spans="2:37" ht="12.75" customHeight="1" thickBot="1">
      <c r="B102" s="1141" t="s">
        <v>582</v>
      </c>
      <c r="C102" s="687"/>
      <c r="D102" s="1142">
        <f>D95+D98+D99+D100+D101+165+35</f>
        <v>645</v>
      </c>
      <c r="E102" s="8"/>
      <c r="F102" s="477" t="s">
        <v>335</v>
      </c>
      <c r="G102" s="256" t="s">
        <v>971</v>
      </c>
      <c r="H102" s="410">
        <v>60</v>
      </c>
      <c r="I102" s="652"/>
      <c r="W102" s="4"/>
      <c r="X102" s="8"/>
      <c r="Y102" s="137"/>
      <c r="Z102" s="169"/>
      <c r="AA102" s="450"/>
      <c r="AE102" s="48"/>
      <c r="AJ102" s="46"/>
    </row>
    <row r="103" spans="2:37" ht="12.75" customHeight="1">
      <c r="B103" s="403"/>
      <c r="C103" s="162" t="s">
        <v>152</v>
      </c>
      <c r="D103" s="54"/>
      <c r="E103" s="48"/>
      <c r="F103" s="1522" t="s">
        <v>833</v>
      </c>
      <c r="G103" s="241" t="s">
        <v>621</v>
      </c>
      <c r="H103" s="419">
        <v>250</v>
      </c>
      <c r="I103" s="651"/>
      <c r="W103" s="4"/>
      <c r="X103" s="8"/>
      <c r="Y103" s="137"/>
      <c r="Z103" s="169"/>
      <c r="AA103" s="450"/>
      <c r="AE103" s="8"/>
      <c r="AJ103" s="8"/>
    </row>
    <row r="104" spans="2:37" ht="14.25" customHeight="1">
      <c r="B104" s="1184" t="s">
        <v>625</v>
      </c>
      <c r="C104" s="283" t="s">
        <v>406</v>
      </c>
      <c r="D104" s="166">
        <v>60</v>
      </c>
      <c r="E104" s="4"/>
      <c r="F104" s="156" t="s">
        <v>214</v>
      </c>
      <c r="G104" s="283" t="s">
        <v>435</v>
      </c>
      <c r="H104" s="166">
        <v>210</v>
      </c>
      <c r="I104" s="652"/>
      <c r="Q104" s="62"/>
      <c r="U104" s="4"/>
      <c r="V104" s="8"/>
      <c r="W104" s="48"/>
      <c r="X104" s="20"/>
      <c r="Y104" s="451"/>
      <c r="Z104" s="169"/>
      <c r="AA104" s="450"/>
      <c r="AE104" s="8"/>
      <c r="AJ104" s="46"/>
    </row>
    <row r="105" spans="2:37" ht="15" customHeight="1">
      <c r="B105" s="1522" t="s">
        <v>831</v>
      </c>
      <c r="C105" s="283" t="s">
        <v>367</v>
      </c>
      <c r="D105" s="410">
        <v>250</v>
      </c>
      <c r="E105" s="202"/>
      <c r="F105" s="61"/>
      <c r="G105" s="1099" t="s">
        <v>215</v>
      </c>
      <c r="H105" s="71"/>
      <c r="I105" s="652"/>
      <c r="Q105" s="62"/>
      <c r="AE105" s="8"/>
      <c r="AJ105" s="46"/>
    </row>
    <row r="106" spans="2:37" ht="14.25" customHeight="1">
      <c r="B106" s="246" t="s">
        <v>201</v>
      </c>
      <c r="C106" s="241" t="s">
        <v>245</v>
      </c>
      <c r="D106" s="239">
        <v>180</v>
      </c>
      <c r="E106" s="155"/>
      <c r="F106" s="246" t="s">
        <v>9</v>
      </c>
      <c r="G106" s="241" t="s">
        <v>596</v>
      </c>
      <c r="H106" s="239">
        <v>200</v>
      </c>
      <c r="I106" s="649"/>
      <c r="Q106" s="136"/>
      <c r="U106" s="4"/>
      <c r="V106" s="4"/>
      <c r="W106" s="32"/>
      <c r="X106" s="4"/>
      <c r="AE106" s="8"/>
      <c r="AJ106" s="46"/>
    </row>
    <row r="107" spans="2:37" ht="15" customHeight="1">
      <c r="B107" s="376" t="s">
        <v>206</v>
      </c>
      <c r="C107" s="1100" t="s">
        <v>470</v>
      </c>
      <c r="D107" s="661">
        <v>100</v>
      </c>
      <c r="E107" s="4"/>
      <c r="F107" s="246" t="s">
        <v>10</v>
      </c>
      <c r="G107" s="241" t="s">
        <v>11</v>
      </c>
      <c r="H107" s="239">
        <v>60</v>
      </c>
      <c r="I107" s="675"/>
      <c r="Q107" s="137"/>
      <c r="W107" s="16"/>
      <c r="AE107" s="8"/>
      <c r="AJ107" s="4"/>
    </row>
    <row r="108" spans="2:37">
      <c r="B108" s="246" t="s">
        <v>9</v>
      </c>
      <c r="C108" s="241" t="s">
        <v>595</v>
      </c>
      <c r="D108" s="166">
        <v>200</v>
      </c>
      <c r="E108" s="4"/>
      <c r="F108" s="246" t="s">
        <v>10</v>
      </c>
      <c r="G108" s="241" t="s">
        <v>792</v>
      </c>
      <c r="H108" s="239">
        <v>50</v>
      </c>
      <c r="I108" s="652"/>
      <c r="Q108" s="137"/>
      <c r="W108" s="5"/>
      <c r="X108" s="5"/>
      <c r="Y108" s="5"/>
      <c r="Z108" s="5"/>
      <c r="AA108" s="5"/>
      <c r="AB108" s="5"/>
      <c r="AC108" s="5"/>
      <c r="AE108" s="5"/>
      <c r="AG108" s="46"/>
      <c r="AJ108" s="4"/>
    </row>
    <row r="109" spans="2:37" ht="14.25" customHeight="1">
      <c r="B109" s="246" t="s">
        <v>10</v>
      </c>
      <c r="C109" s="241" t="s">
        <v>11</v>
      </c>
      <c r="D109" s="239">
        <v>60</v>
      </c>
      <c r="E109" s="4"/>
      <c r="F109" s="266" t="s">
        <v>1004</v>
      </c>
      <c r="G109" s="241" t="s">
        <v>1009</v>
      </c>
      <c r="H109" s="239">
        <v>110</v>
      </c>
      <c r="I109" s="652"/>
      <c r="Q109" s="137"/>
      <c r="S109" s="40"/>
      <c r="AE109" s="448"/>
      <c r="AG109" s="8"/>
      <c r="AJ109" s="4"/>
    </row>
    <row r="110" spans="2:37" ht="12.75" customHeight="1" thickBot="1">
      <c r="B110" s="246" t="s">
        <v>10</v>
      </c>
      <c r="C110" s="241" t="s">
        <v>792</v>
      </c>
      <c r="D110" s="239">
        <v>40</v>
      </c>
      <c r="E110" s="4"/>
      <c r="F110" s="1139" t="s">
        <v>583</v>
      </c>
      <c r="G110" s="1197"/>
      <c r="H110" s="1137">
        <f>SUM(H102:H109)</f>
        <v>940</v>
      </c>
      <c r="I110" s="649"/>
      <c r="J110" s="63"/>
      <c r="K110" s="169"/>
      <c r="L110" s="3"/>
      <c r="Q110" s="142"/>
      <c r="S110" s="40"/>
      <c r="AE110" s="448"/>
      <c r="AG110" s="8"/>
      <c r="AJ110" s="4"/>
    </row>
    <row r="111" spans="2:37" ht="11.25" customHeight="1" thickBot="1">
      <c r="B111" s="1141" t="s">
        <v>583</v>
      </c>
      <c r="C111" s="1144"/>
      <c r="D111" s="1142">
        <f>SUM(D104:D110)</f>
        <v>890</v>
      </c>
      <c r="E111" s="4"/>
      <c r="F111" s="403"/>
      <c r="G111" s="2610" t="s">
        <v>324</v>
      </c>
      <c r="H111" s="752"/>
      <c r="I111" s="649"/>
      <c r="Q111" s="352"/>
      <c r="S111" s="40"/>
      <c r="AC111" s="3"/>
      <c r="AD111" s="197"/>
      <c r="AE111" s="448"/>
      <c r="AJ111" s="4"/>
    </row>
    <row r="112" spans="2:37" ht="15" customHeight="1">
      <c r="B112" s="403"/>
      <c r="C112" s="162" t="s">
        <v>324</v>
      </c>
      <c r="D112" s="752"/>
      <c r="E112" s="91"/>
      <c r="F112" s="2586" t="s">
        <v>794</v>
      </c>
      <c r="G112" s="241" t="s">
        <v>219</v>
      </c>
      <c r="H112" s="2608">
        <v>200</v>
      </c>
      <c r="I112" s="652"/>
      <c r="Q112" s="660"/>
      <c r="S112" s="40"/>
      <c r="AA112" s="3"/>
      <c r="AB112" s="3"/>
      <c r="AC112" s="3"/>
      <c r="AE112" s="448"/>
      <c r="AJ112" s="4"/>
    </row>
    <row r="113" spans="2:46" ht="13.5" customHeight="1">
      <c r="B113" s="289" t="s">
        <v>821</v>
      </c>
      <c r="C113" s="241" t="s">
        <v>339</v>
      </c>
      <c r="D113" s="239">
        <v>200</v>
      </c>
      <c r="E113" s="91"/>
      <c r="F113" s="2609" t="s">
        <v>1001</v>
      </c>
      <c r="G113" s="241" t="s">
        <v>464</v>
      </c>
      <c r="H113" s="1560" t="s">
        <v>515</v>
      </c>
      <c r="I113" s="650"/>
      <c r="P113" s="8"/>
      <c r="Q113" s="124"/>
      <c r="S113" s="40"/>
      <c r="AA113" s="3"/>
      <c r="AB113" s="3"/>
      <c r="AC113" s="3"/>
      <c r="AE113" s="448"/>
      <c r="AJ113" s="4"/>
    </row>
    <row r="114" spans="2:46" ht="12.75" customHeight="1">
      <c r="B114" s="407" t="s">
        <v>1000</v>
      </c>
      <c r="C114" s="241" t="s">
        <v>456</v>
      </c>
      <c r="D114" s="981" t="s">
        <v>536</v>
      </c>
      <c r="E114" s="4"/>
      <c r="F114" s="246" t="s">
        <v>10</v>
      </c>
      <c r="G114" s="241" t="s">
        <v>792</v>
      </c>
      <c r="H114" s="239">
        <v>30</v>
      </c>
      <c r="I114" s="650"/>
      <c r="Q114" s="124"/>
      <c r="S114" s="171"/>
      <c r="AA114" s="3"/>
      <c r="AB114" s="3"/>
      <c r="AC114" s="3"/>
      <c r="AE114" s="448"/>
      <c r="AJ114" s="4"/>
    </row>
    <row r="115" spans="2:46" ht="14.25" customHeight="1" thickBot="1">
      <c r="B115" s="1139" t="s">
        <v>584</v>
      </c>
      <c r="C115" s="687"/>
      <c r="D115" s="1137">
        <f>D113+155+25</f>
        <v>380</v>
      </c>
      <c r="F115" s="1139" t="s">
        <v>584</v>
      </c>
      <c r="G115" s="1136"/>
      <c r="H115" s="1137">
        <f>H112+H114+110+10</f>
        <v>350</v>
      </c>
      <c r="I115" s="650"/>
      <c r="K115" s="1"/>
      <c r="P115" s="8"/>
      <c r="S115" s="40"/>
      <c r="X115" s="1"/>
      <c r="Y115" s="32"/>
      <c r="Z115" s="4"/>
      <c r="AA115" s="9"/>
      <c r="AJ115" s="4"/>
    </row>
    <row r="116" spans="2:46" ht="16.5" customHeight="1">
      <c r="I116" s="650"/>
      <c r="Q116" s="142"/>
      <c r="S116" s="40"/>
      <c r="T116" s="353"/>
      <c r="Y116" s="154"/>
    </row>
    <row r="117" spans="2:46" ht="14.25" customHeight="1">
      <c r="B117" s="171" t="s">
        <v>860</v>
      </c>
      <c r="G117" s="2"/>
      <c r="H117" s="2"/>
      <c r="I117" s="650"/>
      <c r="Q117" s="142"/>
      <c r="S117" s="40"/>
      <c r="Y117" s="154"/>
      <c r="AH117" s="91"/>
      <c r="AI117" s="4"/>
      <c r="AJ117" s="4"/>
      <c r="AK117" s="4"/>
    </row>
    <row r="118" spans="2:46" ht="15.75" customHeight="1">
      <c r="E118" s="461" t="s">
        <v>173</v>
      </c>
      <c r="F118" s="81"/>
      <c r="I118" s="650"/>
      <c r="P118" s="8"/>
      <c r="Q118" s="142"/>
      <c r="R118" s="2"/>
      <c r="S118" s="2"/>
      <c r="T118" s="81"/>
      <c r="W118" s="4"/>
      <c r="Y118" s="155"/>
      <c r="Z118" s="87"/>
      <c r="AA118" s="136"/>
      <c r="AJ118" s="4"/>
      <c r="AK118" s="4"/>
    </row>
    <row r="119" spans="2:46" ht="15" customHeight="1" thickBot="1">
      <c r="B119" s="463"/>
      <c r="C119" s="94" t="s">
        <v>514</v>
      </c>
      <c r="F119" s="94" t="s">
        <v>514</v>
      </c>
      <c r="G119" s="2"/>
      <c r="H119" s="81"/>
      <c r="I119" s="650"/>
      <c r="Q119" s="142"/>
      <c r="S119" s="40"/>
      <c r="W119" s="4"/>
      <c r="X119" s="8"/>
      <c r="Y119" s="4"/>
      <c r="Z119" s="14"/>
      <c r="AA119" s="138"/>
      <c r="AJ119" s="4"/>
    </row>
    <row r="120" spans="2:46" ht="15" customHeight="1">
      <c r="B120" s="25" t="s">
        <v>565</v>
      </c>
      <c r="C120" s="83" t="s">
        <v>3</v>
      </c>
      <c r="D120" s="260" t="s">
        <v>4</v>
      </c>
      <c r="E120" s="143"/>
      <c r="F120" s="25" t="s">
        <v>565</v>
      </c>
      <c r="G120" s="83" t="s">
        <v>3</v>
      </c>
      <c r="H120" s="260" t="s">
        <v>4</v>
      </c>
      <c r="I120" s="650"/>
      <c r="K120" s="169"/>
      <c r="P120" s="8"/>
      <c r="Q120" s="352"/>
      <c r="R120" s="32"/>
      <c r="S120" s="4"/>
      <c r="T120" s="8"/>
      <c r="X120" s="1"/>
      <c r="Y120" s="299"/>
      <c r="Z120" s="116"/>
      <c r="AA120" s="140"/>
      <c r="AJ120" s="4"/>
    </row>
    <row r="121" spans="2:46" ht="14.25" customHeight="1" thickBot="1">
      <c r="B121" s="287" t="s">
        <v>566</v>
      </c>
      <c r="C121"/>
      <c r="D121" s="333" t="s">
        <v>71</v>
      </c>
      <c r="E121" s="19"/>
      <c r="F121" s="287" t="s">
        <v>566</v>
      </c>
      <c r="G121" s="13"/>
      <c r="H121" s="333" t="s">
        <v>71</v>
      </c>
      <c r="I121" s="650"/>
      <c r="J121" s="733"/>
      <c r="K121" s="4"/>
      <c r="L121" s="9"/>
      <c r="Q121" s="124"/>
      <c r="R121" s="32"/>
      <c r="T121" s="8"/>
      <c r="U121" s="9"/>
      <c r="Y121" s="4"/>
      <c r="Z121" s="8"/>
      <c r="AA121" s="142"/>
      <c r="AJ121" s="4"/>
    </row>
    <row r="122" spans="2:46" ht="14.25" customHeight="1" thickBot="1">
      <c r="B122" s="1036" t="s">
        <v>564</v>
      </c>
      <c r="C122" s="68"/>
      <c r="D122" s="462"/>
      <c r="E122" s="19"/>
      <c r="F122" s="868" t="s">
        <v>563</v>
      </c>
      <c r="G122" s="99"/>
      <c r="H122" s="462"/>
      <c r="I122" s="676"/>
      <c r="J122" s="658"/>
      <c r="L122" s="40"/>
      <c r="U122" s="48"/>
      <c r="Y122" s="91"/>
      <c r="Z122" s="115"/>
      <c r="AA122" s="198"/>
      <c r="AJ122" s="4"/>
    </row>
    <row r="123" spans="2:46" ht="14.25" customHeight="1">
      <c r="B123" s="88"/>
      <c r="C123" s="162" t="s">
        <v>199</v>
      </c>
      <c r="D123" s="54"/>
      <c r="E123" s="355"/>
      <c r="F123" s="88"/>
      <c r="G123" s="162" t="s">
        <v>199</v>
      </c>
      <c r="H123" s="54"/>
      <c r="I123" s="670"/>
      <c r="K123" s="169"/>
      <c r="U123" s="48"/>
      <c r="Y123" s="4"/>
      <c r="Z123" s="8"/>
      <c r="AA123" s="142"/>
      <c r="AM123" s="343"/>
      <c r="AO123" s="16"/>
      <c r="AS123" s="12"/>
      <c r="AT123" s="48"/>
    </row>
    <row r="124" spans="2:46" ht="14.25" customHeight="1">
      <c r="B124" s="266" t="s">
        <v>630</v>
      </c>
      <c r="C124" s="283" t="s">
        <v>396</v>
      </c>
      <c r="D124" s="378">
        <v>60</v>
      </c>
      <c r="E124" s="48"/>
      <c r="F124" s="399" t="s">
        <v>195</v>
      </c>
      <c r="G124" s="283" t="s">
        <v>861</v>
      </c>
      <c r="H124" s="166">
        <v>205</v>
      </c>
      <c r="I124" s="652"/>
      <c r="J124" s="119"/>
      <c r="K124" s="4"/>
      <c r="L124" s="9"/>
      <c r="U124" s="48"/>
      <c r="Y124" s="62"/>
      <c r="Z124" s="116"/>
      <c r="AA124" s="450"/>
      <c r="AJ124" s="30"/>
      <c r="AK124" s="4"/>
      <c r="AL124" s="8"/>
      <c r="AM124" s="4"/>
      <c r="AN124" s="4"/>
      <c r="AO124" s="91"/>
      <c r="AP124" s="91"/>
      <c r="AQ124" s="92"/>
      <c r="AR124" s="92"/>
      <c r="AS124" s="4"/>
      <c r="AT124" s="4"/>
    </row>
    <row r="125" spans="2:46" ht="15.75" customHeight="1">
      <c r="B125" s="156" t="s">
        <v>182</v>
      </c>
      <c r="C125" s="1561" t="s">
        <v>506</v>
      </c>
      <c r="D125" s="166" t="s">
        <v>515</v>
      </c>
      <c r="E125" s="4"/>
      <c r="F125" s="1180" t="s">
        <v>322</v>
      </c>
      <c r="G125" s="241" t="s">
        <v>309</v>
      </c>
      <c r="H125" s="378">
        <v>10</v>
      </c>
      <c r="I125" s="652"/>
      <c r="J125" s="55"/>
      <c r="K125" s="4"/>
      <c r="L125" s="9"/>
      <c r="Q125" s="155"/>
      <c r="U125" s="4"/>
      <c r="AK125" s="4"/>
      <c r="AL125" s="8"/>
      <c r="AM125" s="4"/>
      <c r="AN125" s="4"/>
      <c r="AO125" s="91"/>
      <c r="AP125" s="459"/>
      <c r="AQ125" s="92"/>
      <c r="AR125" s="92"/>
      <c r="AS125" s="4"/>
      <c r="AT125" s="4"/>
    </row>
    <row r="126" spans="2:46" ht="16.5" customHeight="1">
      <c r="B126" s="1562" t="s">
        <v>859</v>
      </c>
      <c r="C126" s="1563" t="s">
        <v>858</v>
      </c>
      <c r="D126" s="1564" t="s">
        <v>516</v>
      </c>
      <c r="E126" s="4"/>
      <c r="F126" s="266" t="s">
        <v>627</v>
      </c>
      <c r="G126" s="241" t="s">
        <v>640</v>
      </c>
      <c r="H126" s="239">
        <v>20</v>
      </c>
      <c r="I126" s="652"/>
      <c r="J126" s="733"/>
      <c r="K126" s="45"/>
      <c r="L126" s="9"/>
      <c r="Q126" s="124"/>
      <c r="U126" s="4"/>
      <c r="V126" s="207"/>
      <c r="AK126" s="4"/>
      <c r="AL126" s="8"/>
      <c r="AM126" s="4"/>
      <c r="AN126" s="4"/>
      <c r="AO126" s="91"/>
      <c r="AP126" s="91"/>
      <c r="AQ126" s="92"/>
      <c r="AR126" s="92"/>
      <c r="AS126" s="4"/>
      <c r="AT126" s="4"/>
    </row>
    <row r="127" spans="2:46" ht="15.75" customHeight="1">
      <c r="B127" s="246" t="s">
        <v>9</v>
      </c>
      <c r="C127" s="241" t="s">
        <v>151</v>
      </c>
      <c r="D127" s="239">
        <v>200</v>
      </c>
      <c r="E127" s="4"/>
      <c r="F127" s="2586" t="s">
        <v>1019</v>
      </c>
      <c r="G127" s="241" t="s">
        <v>1021</v>
      </c>
      <c r="H127" s="166">
        <v>200</v>
      </c>
      <c r="I127" s="652"/>
      <c r="L127" s="9"/>
      <c r="Q127" s="142"/>
      <c r="U127" s="4"/>
      <c r="V127" s="207"/>
      <c r="AK127" s="4"/>
      <c r="AL127" s="48"/>
      <c r="AM127" s="4"/>
      <c r="AN127" s="4"/>
      <c r="AO127" s="91"/>
      <c r="AP127" s="91"/>
      <c r="AQ127" s="92"/>
      <c r="AR127" s="92"/>
    </row>
    <row r="128" spans="2:46" ht="15" customHeight="1">
      <c r="B128" s="289" t="s">
        <v>10</v>
      </c>
      <c r="C128" s="241" t="s">
        <v>11</v>
      </c>
      <c r="D128" s="239">
        <v>40</v>
      </c>
      <c r="E128" s="154"/>
      <c r="F128" s="338" t="s">
        <v>10</v>
      </c>
      <c r="G128" s="241" t="s">
        <v>868</v>
      </c>
      <c r="H128" s="239" t="s">
        <v>867</v>
      </c>
      <c r="I128" s="674"/>
      <c r="J128" s="44"/>
      <c r="K128" s="4"/>
      <c r="L128" s="9"/>
      <c r="Q128" s="142"/>
      <c r="U128" s="4"/>
      <c r="V128" s="209"/>
      <c r="Z128" s="346"/>
      <c r="AK128" s="4"/>
      <c r="AL128" s="8"/>
      <c r="AM128" s="4"/>
      <c r="AN128" s="4"/>
      <c r="AO128" s="91"/>
      <c r="AP128" s="91"/>
      <c r="AQ128" s="92"/>
      <c r="AR128" s="92"/>
    </row>
    <row r="129" spans="2:46" ht="15" customHeight="1">
      <c r="B129" s="289" t="s">
        <v>10</v>
      </c>
      <c r="C129" s="241" t="s">
        <v>792</v>
      </c>
      <c r="D129" s="239">
        <v>30</v>
      </c>
      <c r="E129" s="94"/>
      <c r="F129" s="1522" t="s">
        <v>1004</v>
      </c>
      <c r="G129" s="283" t="s">
        <v>338</v>
      </c>
      <c r="H129" s="166">
        <v>105</v>
      </c>
      <c r="I129" s="670"/>
      <c r="J129" s="44"/>
      <c r="K129" s="4"/>
      <c r="L129" s="9"/>
      <c r="Q129" s="142"/>
      <c r="U129" s="4"/>
      <c r="Y129" s="155"/>
      <c r="Z129" s="87"/>
      <c r="AA129" s="347"/>
      <c r="AB129" s="155"/>
      <c r="AC129" s="87"/>
      <c r="AD129" s="347"/>
      <c r="AJ129" s="9"/>
      <c r="AK129" s="4"/>
      <c r="AL129" s="8"/>
      <c r="AM129" s="48"/>
      <c r="AN129" s="48"/>
      <c r="AO129" s="91"/>
      <c r="AP129" s="91"/>
      <c r="AQ129" s="92"/>
      <c r="AR129" s="93"/>
    </row>
    <row r="130" spans="2:46" ht="12.75" customHeight="1" thickBot="1">
      <c r="B130" s="1139" t="s">
        <v>582</v>
      </c>
      <c r="C130" s="1136"/>
      <c r="D130" s="1137">
        <f>D124+D127+D128+D129+110+10+110+70</f>
        <v>630</v>
      </c>
      <c r="E130" s="155"/>
      <c r="F130" s="1139" t="s">
        <v>582</v>
      </c>
      <c r="G130" s="1136"/>
      <c r="H130" s="1137">
        <f>H124+H125+H126+H127+50+40+H129</f>
        <v>630</v>
      </c>
      <c r="I130" s="651"/>
      <c r="K130" s="4"/>
      <c r="L130" s="9"/>
      <c r="U130" s="4"/>
      <c r="Y130" s="4"/>
      <c r="Z130" s="114"/>
      <c r="AA130" s="348"/>
      <c r="AB130" s="4"/>
      <c r="AC130" s="8"/>
      <c r="AD130" s="137"/>
      <c r="AL130" s="40"/>
      <c r="AM130" s="4"/>
      <c r="AN130" s="4"/>
      <c r="AO130" s="4"/>
      <c r="AP130" s="4"/>
      <c r="AS130" s="94"/>
      <c r="AT130" s="48"/>
    </row>
    <row r="131" spans="2:46" ht="17.25" customHeight="1">
      <c r="B131" s="403"/>
      <c r="C131" s="162" t="s">
        <v>152</v>
      </c>
      <c r="D131" s="54"/>
      <c r="E131" s="4"/>
      <c r="F131" s="403"/>
      <c r="G131" s="162" t="s">
        <v>152</v>
      </c>
      <c r="H131" s="54"/>
      <c r="I131" s="672"/>
      <c r="J131" s="1481"/>
      <c r="K131" s="40"/>
      <c r="L131" s="1140"/>
      <c r="Q131" s="136"/>
      <c r="U131" s="4"/>
      <c r="Y131" s="4"/>
      <c r="Z131" s="8"/>
      <c r="AA131" s="142"/>
      <c r="AB131" s="4"/>
      <c r="AC131" s="46"/>
      <c r="AD131" s="124"/>
      <c r="AM131" s="4"/>
      <c r="AN131" s="4"/>
      <c r="AS131" s="48"/>
      <c r="AT131" s="95"/>
    </row>
    <row r="132" spans="2:46" ht="14.25" customHeight="1">
      <c r="B132" s="266" t="s">
        <v>625</v>
      </c>
      <c r="C132" s="283" t="s">
        <v>406</v>
      </c>
      <c r="D132" s="166">
        <v>60</v>
      </c>
      <c r="E132" s="4"/>
      <c r="F132" s="1226" t="s">
        <v>651</v>
      </c>
      <c r="G132" s="398" t="s">
        <v>862</v>
      </c>
      <c r="H132" s="410">
        <v>60</v>
      </c>
      <c r="I132" s="670"/>
      <c r="J132" s="63"/>
      <c r="K132" s="169"/>
      <c r="Q132" s="142"/>
      <c r="U132" s="4"/>
      <c r="Y132" s="4"/>
      <c r="Z132" s="8"/>
      <c r="AA132" s="142"/>
      <c r="AB132" s="4"/>
      <c r="AC132" s="8"/>
      <c r="AD132" s="137"/>
      <c r="AJ132" s="4"/>
    </row>
    <row r="133" spans="2:46" ht="15" customHeight="1">
      <c r="B133" s="1522" t="s">
        <v>834</v>
      </c>
      <c r="C133" s="256" t="s">
        <v>223</v>
      </c>
      <c r="D133" s="410">
        <v>250</v>
      </c>
      <c r="E133" s="4"/>
      <c r="F133" s="217" t="s">
        <v>10</v>
      </c>
      <c r="G133" s="241" t="s">
        <v>395</v>
      </c>
      <c r="H133" s="239">
        <v>60</v>
      </c>
      <c r="I133" s="652"/>
      <c r="J133" s="1485"/>
      <c r="K133" s="116"/>
      <c r="L133" s="150"/>
      <c r="Q133" s="137"/>
      <c r="U133" s="16"/>
      <c r="W133" s="155"/>
      <c r="Y133" s="4"/>
      <c r="Z133" s="8"/>
      <c r="AA133" s="137"/>
      <c r="AB133" s="4"/>
      <c r="AC133" s="8"/>
      <c r="AD133" s="142"/>
      <c r="AH133" s="91"/>
      <c r="AI133" s="4"/>
      <c r="AJ133" s="4"/>
    </row>
    <row r="134" spans="2:46" ht="16.5" customHeight="1">
      <c r="B134" s="156" t="s">
        <v>17</v>
      </c>
      <c r="C134" s="283" t="s">
        <v>113</v>
      </c>
      <c r="D134" s="166" t="s">
        <v>532</v>
      </c>
      <c r="E134" s="4"/>
      <c r="F134" s="1522" t="s">
        <v>835</v>
      </c>
      <c r="G134" s="241" t="s">
        <v>212</v>
      </c>
      <c r="H134" s="419">
        <v>250</v>
      </c>
      <c r="I134" s="652"/>
      <c r="J134" s="44"/>
      <c r="K134" s="4"/>
      <c r="L134" s="9"/>
      <c r="Q134" s="142"/>
      <c r="U134" s="4"/>
      <c r="W134" s="4"/>
      <c r="AB134" s="4"/>
      <c r="AC134" s="8"/>
      <c r="AD134" s="142"/>
      <c r="AH134" s="91"/>
      <c r="AI134" s="4"/>
      <c r="AJ134" s="4"/>
    </row>
    <row r="135" spans="2:46" ht="16.5" customHeight="1">
      <c r="B135" s="1548" t="s">
        <v>827</v>
      </c>
      <c r="C135" s="283" t="s">
        <v>650</v>
      </c>
      <c r="D135" s="166">
        <v>200</v>
      </c>
      <c r="E135" s="4"/>
      <c r="F135" s="156" t="s">
        <v>20</v>
      </c>
      <c r="G135" s="283" t="s">
        <v>498</v>
      </c>
      <c r="H135" s="166">
        <v>100</v>
      </c>
      <c r="I135" s="652"/>
      <c r="J135" s="2283"/>
      <c r="K135" s="4"/>
      <c r="L135" s="150"/>
      <c r="Q135" s="140"/>
      <c r="W135" s="154"/>
      <c r="AH135" s="91"/>
      <c r="AI135" s="4"/>
      <c r="AJ135" s="4"/>
    </row>
    <row r="136" spans="2:46" ht="15.75" customHeight="1">
      <c r="B136" s="962" t="s">
        <v>10</v>
      </c>
      <c r="C136" s="241" t="s">
        <v>11</v>
      </c>
      <c r="D136" s="239">
        <v>70</v>
      </c>
      <c r="E136" s="4"/>
      <c r="F136" s="156" t="s">
        <v>546</v>
      </c>
      <c r="G136" s="283" t="s">
        <v>386</v>
      </c>
      <c r="H136" s="166" t="s">
        <v>646</v>
      </c>
      <c r="I136" s="652"/>
      <c r="J136" s="32"/>
      <c r="K136" s="116"/>
      <c r="L136" s="9"/>
      <c r="Q136" s="142"/>
      <c r="W136" s="155"/>
      <c r="X136" s="63"/>
      <c r="Y136" s="210"/>
      <c r="Z136" s="124"/>
      <c r="AB136" s="154"/>
      <c r="AJ136" s="4"/>
    </row>
    <row r="137" spans="2:46" ht="13.5" customHeight="1">
      <c r="B137" s="246" t="s">
        <v>10</v>
      </c>
      <c r="C137" s="241" t="s">
        <v>792</v>
      </c>
      <c r="D137" s="239">
        <v>40</v>
      </c>
      <c r="E137" s="4"/>
      <c r="F137" s="404" t="s">
        <v>829</v>
      </c>
      <c r="G137" s="167" t="s">
        <v>591</v>
      </c>
      <c r="H137" s="341"/>
      <c r="I137" s="649"/>
      <c r="J137" s="32"/>
      <c r="K137" s="4"/>
      <c r="L137" s="44"/>
      <c r="Q137" s="142"/>
      <c r="W137" s="5"/>
      <c r="X137" s="4"/>
      <c r="Y137" s="8"/>
      <c r="Z137" s="142"/>
      <c r="AB137" s="155"/>
      <c r="AC137" s="87"/>
      <c r="AD137" s="136"/>
      <c r="AF137" s="45"/>
      <c r="AG137" s="45"/>
      <c r="AH137" s="8"/>
    </row>
    <row r="138" spans="2:46" ht="17.25" customHeight="1">
      <c r="B138" s="266" t="s">
        <v>1004</v>
      </c>
      <c r="C138" s="241" t="s">
        <v>1009</v>
      </c>
      <c r="D138" s="378">
        <v>110</v>
      </c>
      <c r="E138" s="91"/>
      <c r="F138" s="1565" t="s">
        <v>637</v>
      </c>
      <c r="G138" s="283" t="s">
        <v>219</v>
      </c>
      <c r="H138" s="429">
        <v>200</v>
      </c>
      <c r="I138" s="649"/>
      <c r="J138" s="63"/>
      <c r="K138" s="4"/>
      <c r="Q138" s="142"/>
      <c r="U138" s="4"/>
      <c r="V138" s="8"/>
      <c r="X138" s="48"/>
      <c r="Y138" s="46"/>
      <c r="Z138" s="124"/>
      <c r="AB138" s="4"/>
      <c r="AC138" s="116"/>
      <c r="AD138" s="140"/>
      <c r="AE138" s="32"/>
      <c r="AH138" s="4"/>
    </row>
    <row r="139" spans="2:46" ht="18" customHeight="1" thickBot="1">
      <c r="B139" s="1139" t="s">
        <v>583</v>
      </c>
      <c r="C139" s="1197"/>
      <c r="D139" s="1137">
        <f>D132+D133+D135+D136+D137+50+140+D138</f>
        <v>920</v>
      </c>
      <c r="E139" s="4"/>
      <c r="F139" s="338" t="s">
        <v>10</v>
      </c>
      <c r="G139" s="241" t="s">
        <v>868</v>
      </c>
      <c r="H139" s="239" t="s">
        <v>869</v>
      </c>
      <c r="I139" s="652"/>
      <c r="J139" s="1486"/>
      <c r="K139" s="4"/>
      <c r="L139" s="66"/>
      <c r="Q139" s="142"/>
      <c r="X139" s="48"/>
      <c r="Y139" s="119"/>
      <c r="Z139" s="142"/>
      <c r="AB139" s="4"/>
      <c r="AC139" s="295"/>
      <c r="AD139" s="137"/>
      <c r="AF139" s="4"/>
      <c r="AG139" s="4"/>
      <c r="AI139" s="105"/>
      <c r="AK139" s="4"/>
    </row>
    <row r="140" spans="2:46" ht="18" customHeight="1" thickBot="1">
      <c r="B140" s="403"/>
      <c r="C140" s="162" t="s">
        <v>324</v>
      </c>
      <c r="D140" s="752"/>
      <c r="E140" s="48"/>
      <c r="F140" s="1139" t="s">
        <v>583</v>
      </c>
      <c r="G140" s="1197"/>
      <c r="H140" s="1137">
        <f>H132+H133+H134+H135+H138+155+35+40+30</f>
        <v>930</v>
      </c>
      <c r="I140" s="671"/>
      <c r="J140" s="44"/>
      <c r="K140" s="4"/>
      <c r="L140" s="9"/>
      <c r="X140" s="48"/>
      <c r="Y140" s="46"/>
      <c r="Z140" s="141"/>
      <c r="AB140" s="4"/>
      <c r="AC140" s="8"/>
      <c r="AD140" s="124"/>
      <c r="AH140" s="48"/>
      <c r="AI140" s="105"/>
      <c r="AK140" s="4"/>
    </row>
    <row r="141" spans="2:46" ht="15" customHeight="1">
      <c r="B141" s="1522" t="s">
        <v>830</v>
      </c>
      <c r="C141" s="283" t="s">
        <v>600</v>
      </c>
      <c r="D141" s="429">
        <v>200</v>
      </c>
      <c r="E141" s="4"/>
      <c r="F141" s="403"/>
      <c r="G141" s="162" t="s">
        <v>324</v>
      </c>
      <c r="H141" s="752"/>
      <c r="I141" s="677"/>
      <c r="J141" s="44"/>
      <c r="K141" s="4"/>
      <c r="L141" s="9"/>
      <c r="Q141" s="136"/>
      <c r="X141" s="48"/>
      <c r="Y141" s="46"/>
      <c r="Z141" s="141"/>
      <c r="AB141" s="4"/>
      <c r="AC141" s="8"/>
      <c r="AD141" s="124"/>
      <c r="AE141" s="4"/>
      <c r="AF141" s="116"/>
      <c r="AG141" s="194"/>
      <c r="AK141" s="16"/>
    </row>
    <row r="142" spans="2:46" ht="15.75" customHeight="1">
      <c r="B142" s="246" t="s">
        <v>461</v>
      </c>
      <c r="C142" s="1550" t="s">
        <v>460</v>
      </c>
      <c r="D142" s="285" t="s">
        <v>383</v>
      </c>
      <c r="F142" s="246" t="s">
        <v>9</v>
      </c>
      <c r="G142" s="241" t="s">
        <v>151</v>
      </c>
      <c r="H142" s="285">
        <v>200</v>
      </c>
      <c r="I142" s="652"/>
      <c r="J142" s="1481"/>
      <c r="K142" s="40"/>
      <c r="L142" s="1140"/>
      <c r="Q142" s="142"/>
      <c r="X142" s="91"/>
      <c r="Y142" s="110"/>
      <c r="Z142" s="141"/>
      <c r="AB142" s="4"/>
      <c r="AC142" s="8"/>
      <c r="AD142" s="124"/>
      <c r="AE142" s="4"/>
      <c r="AF142" s="114"/>
      <c r="AG142" s="1"/>
      <c r="AK142" s="48"/>
      <c r="AL142" s="46"/>
    </row>
    <row r="143" spans="2:46" ht="15.75" customHeight="1">
      <c r="B143" s="246" t="s">
        <v>10</v>
      </c>
      <c r="C143" s="241" t="s">
        <v>11</v>
      </c>
      <c r="D143" s="239">
        <v>40</v>
      </c>
      <c r="F143" s="2175" t="s">
        <v>817</v>
      </c>
      <c r="G143" s="256" t="s">
        <v>467</v>
      </c>
      <c r="H143" s="285" t="s">
        <v>535</v>
      </c>
      <c r="I143" s="671"/>
      <c r="J143" s="63"/>
      <c r="K143" s="169"/>
      <c r="L143" s="3"/>
      <c r="Q143" s="142"/>
      <c r="X143" s="48"/>
      <c r="Y143" s="46"/>
      <c r="Z143" s="141"/>
      <c r="AB143" s="4"/>
      <c r="AC143" s="32"/>
      <c r="AD143" s="142"/>
      <c r="AJ143" s="46"/>
      <c r="AK143" s="48"/>
      <c r="AL143" s="48"/>
    </row>
    <row r="144" spans="2:46" ht="18" customHeight="1" thickBot="1">
      <c r="B144" s="1139" t="s">
        <v>584</v>
      </c>
      <c r="C144" s="1136"/>
      <c r="D144" s="1137">
        <f>D141+D143+90+20</f>
        <v>350</v>
      </c>
      <c r="F144" s="303" t="s">
        <v>10</v>
      </c>
      <c r="G144" s="167" t="s">
        <v>792</v>
      </c>
      <c r="H144" s="425">
        <v>20</v>
      </c>
      <c r="I144" s="652"/>
      <c r="J144" s="32"/>
      <c r="K144" s="4"/>
      <c r="L144" s="66"/>
      <c r="Q144" s="142"/>
      <c r="S144" s="40"/>
      <c r="W144" s="4"/>
      <c r="X144" s="4"/>
      <c r="Y144" s="8"/>
      <c r="Z144" s="142"/>
      <c r="AB144" s="4"/>
      <c r="AC144" s="8"/>
      <c r="AD144" s="124"/>
      <c r="AJ144" s="214"/>
    </row>
    <row r="145" spans="2:41" ht="15" customHeight="1" thickBot="1">
      <c r="F145" s="1139" t="s">
        <v>584</v>
      </c>
      <c r="G145" s="1136"/>
      <c r="H145" s="1137">
        <f>H142+H144+100+30</f>
        <v>350</v>
      </c>
      <c r="I145" s="671"/>
      <c r="J145" s="2286"/>
      <c r="K145" s="116"/>
      <c r="L145" s="66"/>
      <c r="Q145" s="142"/>
      <c r="S145" s="40"/>
      <c r="X145" s="32"/>
      <c r="Y145" s="4"/>
      <c r="Z145" s="9"/>
      <c r="AB145" s="4"/>
      <c r="AC145" s="8"/>
      <c r="AD145" s="124"/>
      <c r="AJ145" s="46"/>
    </row>
    <row r="146" spans="2:41" ht="15.75" customHeight="1">
      <c r="B146" s="25" t="s">
        <v>565</v>
      </c>
      <c r="C146" s="83" t="s">
        <v>3</v>
      </c>
      <c r="D146" s="260" t="s">
        <v>4</v>
      </c>
      <c r="E146" s="155"/>
      <c r="I146" s="669"/>
      <c r="J146" s="32"/>
      <c r="K146" s="4"/>
      <c r="L146" s="9"/>
      <c r="Q146" s="142"/>
      <c r="S146" s="40"/>
      <c r="U146" s="9"/>
      <c r="W146" s="155"/>
      <c r="X146" s="16"/>
      <c r="AB146" s="4"/>
      <c r="AC146" s="110"/>
      <c r="AD146" s="141"/>
      <c r="AE146" s="4"/>
      <c r="AF146" s="8"/>
      <c r="AG146" s="137"/>
      <c r="AJ146" s="46"/>
      <c r="AM146" s="48"/>
    </row>
    <row r="147" spans="2:41" ht="14.25" customHeight="1" thickBot="1">
      <c r="B147" s="287" t="s">
        <v>566</v>
      </c>
      <c r="C147"/>
      <c r="D147" s="333" t="s">
        <v>71</v>
      </c>
      <c r="E147" s="91"/>
      <c r="I147" s="670"/>
      <c r="J147" s="658"/>
      <c r="L147" s="40"/>
      <c r="U147" s="48"/>
      <c r="X147" s="4"/>
      <c r="Y147" s="8"/>
      <c r="Z147" s="142"/>
      <c r="AE147" s="4"/>
      <c r="AF147" s="8"/>
      <c r="AG147" s="137"/>
      <c r="AJ147" s="1"/>
      <c r="AN147" s="87"/>
    </row>
    <row r="148" spans="2:41" ht="15.75" customHeight="1" thickBot="1">
      <c r="B148" s="876" t="s">
        <v>562</v>
      </c>
      <c r="C148" s="68"/>
      <c r="D148" s="462"/>
      <c r="E148" s="91"/>
      <c r="F148" s="876" t="s">
        <v>567</v>
      </c>
      <c r="G148" s="68"/>
      <c r="H148" s="960"/>
      <c r="I148" s="651"/>
      <c r="K148" s="169"/>
      <c r="U148" s="48"/>
      <c r="X148" s="4"/>
      <c r="Y148" s="8"/>
      <c r="Z148" s="142"/>
      <c r="AM148" s="45"/>
      <c r="AN148" s="48"/>
      <c r="AO148" s="48"/>
    </row>
    <row r="149" spans="2:41" ht="18" customHeight="1">
      <c r="B149" s="88"/>
      <c r="C149" s="162" t="s">
        <v>199</v>
      </c>
      <c r="D149" s="54"/>
      <c r="E149" s="91"/>
      <c r="F149" s="88"/>
      <c r="G149" s="162" t="s">
        <v>199</v>
      </c>
      <c r="H149" s="54"/>
      <c r="I149" s="651"/>
      <c r="J149" s="733"/>
      <c r="K149" s="4"/>
      <c r="L149" s="9"/>
      <c r="U149" s="48"/>
      <c r="X149" s="4"/>
      <c r="Y149" s="8"/>
      <c r="Z149" s="142"/>
      <c r="AJ149" s="4"/>
      <c r="AK149" s="4"/>
      <c r="AL149" s="4"/>
      <c r="AM149" s="4"/>
      <c r="AN149" s="4"/>
      <c r="AO149" s="4"/>
    </row>
    <row r="150" spans="2:41" ht="16.5" customHeight="1">
      <c r="B150" s="266" t="s">
        <v>625</v>
      </c>
      <c r="C150" s="241" t="s">
        <v>417</v>
      </c>
      <c r="D150" s="166">
        <v>60</v>
      </c>
      <c r="E150" s="91"/>
      <c r="F150" s="266" t="s">
        <v>645</v>
      </c>
      <c r="G150" s="241" t="s">
        <v>396</v>
      </c>
      <c r="H150" s="239">
        <v>60</v>
      </c>
      <c r="I150" s="650"/>
      <c r="J150" s="63"/>
      <c r="K150" s="653"/>
      <c r="U150" s="4"/>
      <c r="X150" s="4"/>
      <c r="Y150" s="8"/>
      <c r="Z150" s="142"/>
      <c r="AE150" s="4"/>
      <c r="AF150" s="295"/>
      <c r="AG150" s="137"/>
      <c r="AJ150" s="4"/>
      <c r="AK150" s="4"/>
      <c r="AL150" s="4"/>
      <c r="AM150" s="4"/>
      <c r="AN150" s="48"/>
      <c r="AO150" s="46"/>
    </row>
    <row r="151" spans="2:41" ht="15" customHeight="1">
      <c r="B151" s="246" t="s">
        <v>186</v>
      </c>
      <c r="C151" s="241" t="s">
        <v>187</v>
      </c>
      <c r="D151" s="239" t="s">
        <v>519</v>
      </c>
      <c r="E151" s="91"/>
      <c r="F151" s="477" t="s">
        <v>578</v>
      </c>
      <c r="G151" s="1546" t="s">
        <v>577</v>
      </c>
      <c r="H151" s="410" t="s">
        <v>373</v>
      </c>
      <c r="I151" s="650"/>
      <c r="J151" s="1482"/>
      <c r="K151" s="355"/>
      <c r="L151" s="2611"/>
      <c r="S151" s="40"/>
      <c r="U151" s="4"/>
      <c r="AJ151" s="91"/>
      <c r="AK151" s="91"/>
      <c r="AL151" s="4"/>
      <c r="AM151" s="4"/>
      <c r="AN151" s="4"/>
      <c r="AO151" s="8"/>
    </row>
    <row r="152" spans="2:41" ht="17.25" customHeight="1">
      <c r="B152" s="246" t="s">
        <v>653</v>
      </c>
      <c r="C152" s="241" t="s">
        <v>593</v>
      </c>
      <c r="D152" s="285">
        <v>200</v>
      </c>
      <c r="F152" s="1130" t="s">
        <v>866</v>
      </c>
      <c r="G152" s="1543" t="s">
        <v>865</v>
      </c>
      <c r="H152" s="1566" t="s">
        <v>573</v>
      </c>
      <c r="I152" s="670"/>
      <c r="J152" s="63"/>
      <c r="K152" s="355"/>
      <c r="S152" s="40"/>
      <c r="U152" s="4"/>
      <c r="X152" s="87"/>
      <c r="Y152" s="347"/>
      <c r="Z152" s="87"/>
      <c r="AA152" s="347"/>
      <c r="AC152" s="48"/>
      <c r="AD152" s="105"/>
      <c r="AJ152" s="91"/>
      <c r="AK152" s="215"/>
      <c r="AN152" s="4"/>
      <c r="AO152" s="8"/>
    </row>
    <row r="153" spans="2:41" ht="17.25" customHeight="1">
      <c r="B153" s="246" t="s">
        <v>10</v>
      </c>
      <c r="C153" s="241" t="s">
        <v>11</v>
      </c>
      <c r="D153" s="285">
        <v>70</v>
      </c>
      <c r="E153" s="658"/>
      <c r="F153" s="246" t="s">
        <v>9</v>
      </c>
      <c r="G153" s="241" t="s">
        <v>151</v>
      </c>
      <c r="H153" s="239">
        <v>200</v>
      </c>
      <c r="I153" s="651"/>
      <c r="J153" s="32"/>
      <c r="K153" s="4"/>
      <c r="L153" s="9"/>
      <c r="S153" s="40"/>
      <c r="U153" s="4"/>
      <c r="W153" s="4"/>
      <c r="X153" s="8"/>
      <c r="Y153" s="137"/>
      <c r="Z153" s="452"/>
      <c r="AA153" s="450"/>
      <c r="AN153" s="4"/>
      <c r="AO153" s="8"/>
    </row>
    <row r="154" spans="2:41" ht="16.5" customHeight="1">
      <c r="B154" s="246" t="s">
        <v>10</v>
      </c>
      <c r="C154" s="241" t="s">
        <v>792</v>
      </c>
      <c r="D154" s="239">
        <v>40</v>
      </c>
      <c r="E154" s="155"/>
      <c r="F154" s="338" t="s">
        <v>10</v>
      </c>
      <c r="G154" s="241" t="s">
        <v>868</v>
      </c>
      <c r="H154" s="378" t="s">
        <v>870</v>
      </c>
      <c r="I154" s="652"/>
      <c r="J154" s="32"/>
      <c r="K154" s="4"/>
      <c r="L154" s="9"/>
      <c r="S154" s="40"/>
      <c r="U154" s="4"/>
      <c r="W154" s="4"/>
      <c r="X154" s="8"/>
      <c r="Y154" s="137"/>
      <c r="Z154" s="169"/>
      <c r="AA154" s="450"/>
      <c r="AK154" s="62"/>
    </row>
    <row r="155" spans="2:41" ht="13.5" customHeight="1" thickBot="1">
      <c r="B155" s="1139" t="s">
        <v>582</v>
      </c>
      <c r="C155" s="1136"/>
      <c r="D155" s="1137">
        <f>D150+D152+D153+D154+55+155</f>
        <v>580</v>
      </c>
      <c r="E155" s="4"/>
      <c r="F155" s="1139" t="s">
        <v>582</v>
      </c>
      <c r="G155" s="1136"/>
      <c r="H155" s="1137">
        <f>H150+H153+50+50+90+90+50+20</f>
        <v>610</v>
      </c>
      <c r="I155" s="652"/>
      <c r="J155" s="32"/>
      <c r="K155" s="4"/>
      <c r="L155" s="9"/>
      <c r="S155" s="40"/>
      <c r="U155" s="4"/>
      <c r="W155" s="4"/>
      <c r="X155" s="8"/>
      <c r="Y155" s="137"/>
      <c r="Z155" s="169"/>
      <c r="AA155" s="450"/>
      <c r="AE155" s="4"/>
      <c r="AF155" s="8"/>
      <c r="AG155" s="142"/>
      <c r="AJ155" s="8"/>
    </row>
    <row r="156" spans="2:41" ht="16.5" customHeight="1">
      <c r="B156" s="826"/>
      <c r="C156" s="162" t="s">
        <v>152</v>
      </c>
      <c r="D156" s="130"/>
      <c r="E156" s="4"/>
      <c r="F156" s="403"/>
      <c r="G156" s="162" t="s">
        <v>152</v>
      </c>
      <c r="H156" s="54"/>
      <c r="I156" s="650"/>
      <c r="J156" s="1481"/>
      <c r="K156" s="40"/>
      <c r="L156" s="1140"/>
      <c r="S156" s="40"/>
      <c r="U156" s="4"/>
      <c r="W156" s="4"/>
      <c r="X156" s="350"/>
      <c r="Y156" s="351"/>
      <c r="Z156" s="169"/>
      <c r="AA156" s="450"/>
    </row>
    <row r="157" spans="2:41" ht="14.25" customHeight="1">
      <c r="B157" s="1184" t="s">
        <v>630</v>
      </c>
      <c r="C157" s="283" t="s">
        <v>396</v>
      </c>
      <c r="D157" s="419">
        <v>60</v>
      </c>
      <c r="E157" s="4"/>
      <c r="F157" s="266" t="s">
        <v>660</v>
      </c>
      <c r="G157" s="241" t="s">
        <v>661</v>
      </c>
      <c r="H157" s="166">
        <v>60</v>
      </c>
      <c r="I157" s="676"/>
      <c r="J157" s="63"/>
      <c r="K157" s="169"/>
      <c r="S157" s="40"/>
      <c r="U157" s="4"/>
      <c r="V157" s="207"/>
      <c r="W157" s="4"/>
      <c r="X157" s="350"/>
      <c r="Y157" s="351"/>
      <c r="Z157" s="169"/>
      <c r="AA157" s="450"/>
    </row>
    <row r="158" spans="2:41" ht="17.25" customHeight="1">
      <c r="B158" s="478" t="s">
        <v>864</v>
      </c>
      <c r="C158" s="398" t="s">
        <v>863</v>
      </c>
      <c r="D158" s="429">
        <v>250</v>
      </c>
      <c r="E158" s="4"/>
      <c r="F158" s="1529" t="s">
        <v>839</v>
      </c>
      <c r="G158" s="283" t="s">
        <v>840</v>
      </c>
      <c r="H158" s="410">
        <v>250</v>
      </c>
      <c r="I158" s="676"/>
      <c r="J158" s="733"/>
      <c r="K158" s="4"/>
      <c r="L158" s="9"/>
      <c r="P158" s="8"/>
      <c r="S158" s="40"/>
      <c r="U158" s="16"/>
      <c r="W158" s="4"/>
      <c r="X158" s="295"/>
      <c r="Y158" s="137"/>
      <c r="Z158" s="169"/>
      <c r="AA158" s="450"/>
      <c r="AE158" s="4"/>
      <c r="AF158" s="110"/>
      <c r="AG158" s="141"/>
    </row>
    <row r="159" spans="2:41" ht="15" customHeight="1">
      <c r="B159" s="156" t="s">
        <v>210</v>
      </c>
      <c r="C159" s="283" t="s">
        <v>604</v>
      </c>
      <c r="D159" s="920" t="s">
        <v>384</v>
      </c>
      <c r="E159" s="4"/>
      <c r="F159" s="477" t="s">
        <v>849</v>
      </c>
      <c r="G159" s="398" t="s">
        <v>848</v>
      </c>
      <c r="H159" s="661">
        <v>110</v>
      </c>
      <c r="I159" s="670"/>
      <c r="J159" s="2285"/>
      <c r="K159" s="4"/>
      <c r="L159" s="150"/>
      <c r="S159" s="40"/>
      <c r="W159" s="4"/>
      <c r="X159" s="8"/>
      <c r="Y159" s="137"/>
      <c r="Z159" s="169"/>
      <c r="AA159" s="450"/>
      <c r="AE159" s="4"/>
      <c r="AF159" s="110"/>
      <c r="AG159" s="141"/>
    </row>
    <row r="160" spans="2:41" ht="12.75" customHeight="1">
      <c r="B160" s="156" t="s">
        <v>333</v>
      </c>
      <c r="C160" s="393" t="s">
        <v>528</v>
      </c>
      <c r="D160" s="429">
        <v>180</v>
      </c>
      <c r="E160" s="4"/>
      <c r="F160" s="156" t="s">
        <v>333</v>
      </c>
      <c r="G160" s="393" t="s">
        <v>657</v>
      </c>
      <c r="H160" s="429" t="s">
        <v>544</v>
      </c>
      <c r="I160" s="652"/>
      <c r="J160" s="63"/>
      <c r="K160" s="116"/>
      <c r="L160" s="150"/>
      <c r="S160" s="40"/>
      <c r="W160" s="48"/>
      <c r="X160" s="8"/>
      <c r="Y160" s="124"/>
      <c r="Z160" s="169"/>
      <c r="AA160" s="450"/>
      <c r="AG160" s="4"/>
      <c r="AH160" s="8"/>
      <c r="AI160" s="4"/>
    </row>
    <row r="161" spans="2:38" ht="12.75" customHeight="1">
      <c r="B161" s="478" t="s">
        <v>821</v>
      </c>
      <c r="C161" s="283" t="s">
        <v>339</v>
      </c>
      <c r="D161" s="166">
        <v>200</v>
      </c>
      <c r="E161" s="4"/>
      <c r="F161" s="1256" t="s">
        <v>664</v>
      </c>
      <c r="G161" s="1547" t="s">
        <v>665</v>
      </c>
      <c r="H161" s="425"/>
      <c r="I161" s="652"/>
      <c r="J161" s="32"/>
      <c r="K161" s="62"/>
      <c r="L161" s="66"/>
      <c r="S161" s="40"/>
      <c r="W161" s="4"/>
      <c r="X161" s="8"/>
      <c r="Y161" s="142"/>
      <c r="Z161" s="452"/>
      <c r="AA161" s="450"/>
      <c r="AE161" s="19"/>
      <c r="AH161" s="8"/>
      <c r="AI161" s="48"/>
    </row>
    <row r="162" spans="2:38" ht="15" customHeight="1">
      <c r="B162" s="246" t="s">
        <v>10</v>
      </c>
      <c r="C162" s="241" t="s">
        <v>11</v>
      </c>
      <c r="D162" s="239">
        <v>70</v>
      </c>
      <c r="E162" s="91"/>
      <c r="F162" s="407" t="s">
        <v>853</v>
      </c>
      <c r="G162" s="283" t="s">
        <v>219</v>
      </c>
      <c r="H162" s="429">
        <v>200</v>
      </c>
      <c r="I162" s="652"/>
      <c r="J162" s="48"/>
      <c r="K162" s="45"/>
      <c r="L162" s="9"/>
      <c r="S162" s="40"/>
      <c r="W162" s="4"/>
      <c r="X162" s="8"/>
      <c r="Y162" s="142"/>
      <c r="Z162" s="169"/>
      <c r="AA162" s="450"/>
      <c r="AE162" s="155"/>
      <c r="AF162" s="87"/>
      <c r="AG162" s="347"/>
      <c r="AH162" s="8"/>
      <c r="AK162" s="196"/>
      <c r="AL162" s="196"/>
    </row>
    <row r="163" spans="2:38" ht="14.25" customHeight="1">
      <c r="B163" s="246" t="s">
        <v>10</v>
      </c>
      <c r="C163" s="241" t="s">
        <v>792</v>
      </c>
      <c r="D163" s="239">
        <v>40</v>
      </c>
      <c r="E163" s="48"/>
      <c r="F163" s="338" t="s">
        <v>10</v>
      </c>
      <c r="G163" s="241" t="s">
        <v>868</v>
      </c>
      <c r="H163" s="239" t="s">
        <v>871</v>
      </c>
      <c r="I163" s="652"/>
      <c r="J163" s="788"/>
      <c r="K163" s="4"/>
      <c r="L163" s="66"/>
      <c r="S163" s="40"/>
      <c r="U163" s="4"/>
      <c r="V163" s="8"/>
      <c r="W163" s="4"/>
      <c r="X163" s="8"/>
      <c r="Y163" s="142"/>
      <c r="Z163" s="169"/>
      <c r="AA163" s="450"/>
      <c r="AE163" s="4"/>
      <c r="AF163" s="8"/>
      <c r="AG163" s="137"/>
      <c r="AH163" s="8"/>
      <c r="AK163" s="196"/>
      <c r="AL163" s="196"/>
    </row>
    <row r="164" spans="2:38" ht="13.5" customHeight="1">
      <c r="B164" s="1522" t="s">
        <v>818</v>
      </c>
      <c r="C164" s="241" t="s">
        <v>438</v>
      </c>
      <c r="D164" s="285">
        <v>110</v>
      </c>
      <c r="E164" s="4"/>
      <c r="F164" s="1522" t="s">
        <v>818</v>
      </c>
      <c r="G164" s="241" t="s">
        <v>438</v>
      </c>
      <c r="H164" s="285">
        <v>110</v>
      </c>
      <c r="I164" s="649"/>
      <c r="J164" s="32"/>
      <c r="K164" s="4"/>
      <c r="L164" s="9"/>
      <c r="S164" s="40"/>
      <c r="W164" s="4"/>
      <c r="X164" s="46"/>
      <c r="Y164" s="124"/>
      <c r="Z164" s="169"/>
      <c r="AA164" s="450"/>
      <c r="AH164" s="4"/>
      <c r="AI164" s="4"/>
      <c r="AK164" s="196"/>
      <c r="AL164" s="196"/>
    </row>
    <row r="165" spans="2:38" ht="13.5" customHeight="1" thickBot="1">
      <c r="B165" s="1139" t="s">
        <v>583</v>
      </c>
      <c r="C165" s="1197"/>
      <c r="D165" s="1137">
        <f>D157+D158+D160+D161+D162+D163+D164+90+20</f>
        <v>1020</v>
      </c>
      <c r="E165" s="91"/>
      <c r="F165" s="1139" t="s">
        <v>583</v>
      </c>
      <c r="G165" s="1197"/>
      <c r="H165" s="1137">
        <f>H157+H158+H159+H162+H164+140+40+70+40</f>
        <v>1020</v>
      </c>
      <c r="I165" s="649"/>
      <c r="J165" s="32"/>
      <c r="K165" s="4"/>
      <c r="L165" s="9"/>
      <c r="Q165" s="4"/>
      <c r="S165" s="40"/>
      <c r="W165" s="4"/>
      <c r="X165" s="213"/>
      <c r="Y165" s="352"/>
      <c r="Z165" s="169"/>
      <c r="AA165" s="450"/>
      <c r="AH165" s="4"/>
      <c r="AI165" s="4"/>
      <c r="AK165" s="4"/>
      <c r="AL165" s="4"/>
    </row>
    <row r="166" spans="2:38" ht="12.75" customHeight="1">
      <c r="B166" s="403"/>
      <c r="C166" s="162" t="s">
        <v>324</v>
      </c>
      <c r="D166" s="752"/>
      <c r="E166" s="91"/>
      <c r="F166" s="403"/>
      <c r="G166" s="162" t="s">
        <v>324</v>
      </c>
      <c r="H166" s="752"/>
      <c r="I166" s="649"/>
      <c r="J166" s="30"/>
      <c r="K166" s="4"/>
      <c r="L166" s="66"/>
      <c r="Q166" s="347"/>
      <c r="S166" s="40"/>
      <c r="W166" s="4"/>
      <c r="X166" s="20"/>
      <c r="Y166" s="451"/>
      <c r="Z166" s="169"/>
      <c r="AA166" s="450"/>
      <c r="AH166" s="19"/>
    </row>
    <row r="167" spans="2:38" ht="14.25" customHeight="1">
      <c r="B167" s="1525" t="s">
        <v>799</v>
      </c>
      <c r="C167" s="283" t="s">
        <v>823</v>
      </c>
      <c r="D167" s="166">
        <v>200</v>
      </c>
      <c r="E167" s="4"/>
      <c r="F167" s="156" t="s">
        <v>18</v>
      </c>
      <c r="G167" s="283" t="s">
        <v>932</v>
      </c>
      <c r="H167" s="285">
        <v>200</v>
      </c>
      <c r="I167" s="651"/>
      <c r="J167" s="1481"/>
      <c r="K167" s="40"/>
      <c r="L167" s="1140"/>
      <c r="Q167" s="142"/>
      <c r="S167" s="40"/>
      <c r="W167" s="48"/>
      <c r="X167" s="20"/>
      <c r="Y167" s="451"/>
      <c r="Z167" s="169"/>
      <c r="AA167" s="450"/>
      <c r="AH167" s="4"/>
      <c r="AI167" s="8"/>
    </row>
    <row r="168" spans="2:38" ht="14.25" customHeight="1">
      <c r="B168" s="407" t="s">
        <v>370</v>
      </c>
      <c r="C168" s="283" t="s">
        <v>369</v>
      </c>
      <c r="D168" s="1560" t="s">
        <v>683</v>
      </c>
      <c r="F168" s="156" t="s">
        <v>674</v>
      </c>
      <c r="G168" s="283" t="s">
        <v>784</v>
      </c>
      <c r="H168" s="429" t="s">
        <v>927</v>
      </c>
      <c r="I168" s="652"/>
      <c r="J168" s="63"/>
      <c r="K168" s="169"/>
      <c r="L168" s="3"/>
      <c r="Q168" s="124"/>
      <c r="S168" s="40"/>
      <c r="W168" s="48"/>
      <c r="X168" s="20"/>
      <c r="Y168" s="451"/>
      <c r="Z168" s="169"/>
      <c r="AA168" s="450"/>
      <c r="AE168" s="13"/>
      <c r="AF168" s="8"/>
      <c r="AH168" s="4"/>
      <c r="AI168" s="8"/>
    </row>
    <row r="169" spans="2:38" ht="15" customHeight="1">
      <c r="B169" s="246" t="s">
        <v>10</v>
      </c>
      <c r="C169" s="241" t="s">
        <v>792</v>
      </c>
      <c r="D169" s="239">
        <v>20</v>
      </c>
      <c r="F169" s="303" t="s">
        <v>10</v>
      </c>
      <c r="G169" s="241" t="s">
        <v>792</v>
      </c>
      <c r="H169" s="239">
        <v>24</v>
      </c>
      <c r="I169" s="685"/>
      <c r="J169" s="32"/>
      <c r="K169" s="4"/>
      <c r="L169" s="66"/>
      <c r="Q169" s="142"/>
      <c r="S169" s="171"/>
      <c r="W169" s="48"/>
      <c r="X169" s="20"/>
      <c r="Y169" s="451"/>
      <c r="Z169" s="169"/>
      <c r="AA169" s="450"/>
      <c r="AE169" s="48"/>
      <c r="AF169" s="8"/>
      <c r="AG169" s="137"/>
      <c r="AH169" s="4"/>
      <c r="AI169" s="8"/>
    </row>
    <row r="170" spans="2:38" ht="15" customHeight="1" thickBot="1">
      <c r="B170" s="1139" t="s">
        <v>584</v>
      </c>
      <c r="C170" s="1136"/>
      <c r="D170" s="1137">
        <f>D167+D169+135+45</f>
        <v>400</v>
      </c>
      <c r="F170" s="1139" t="s">
        <v>584</v>
      </c>
      <c r="G170" s="1136"/>
      <c r="H170" s="1137">
        <f>H167+H169+90+40</f>
        <v>354</v>
      </c>
      <c r="I170" s="652"/>
      <c r="J170" s="32"/>
      <c r="K170" s="4"/>
      <c r="L170" s="66"/>
      <c r="Q170" s="142"/>
      <c r="S170" s="40"/>
      <c r="W170" s="48"/>
      <c r="X170" s="20"/>
      <c r="Y170" s="451"/>
      <c r="Z170" s="169"/>
      <c r="AA170" s="450"/>
      <c r="AH170" s="4"/>
      <c r="AI170" s="8"/>
    </row>
    <row r="171" spans="2:38" ht="15" customHeight="1">
      <c r="B171" s="171"/>
      <c r="C171" s="7"/>
      <c r="I171" s="651"/>
      <c r="J171" s="32"/>
      <c r="K171" s="4"/>
      <c r="L171" s="9"/>
      <c r="Q171" s="198"/>
      <c r="S171" s="40"/>
      <c r="T171" s="353"/>
      <c r="W171" s="48"/>
      <c r="X171" s="20"/>
      <c r="Y171" s="451"/>
      <c r="Z171" s="169"/>
      <c r="AA171" s="450"/>
      <c r="AE171" s="4"/>
      <c r="AF171" s="8"/>
      <c r="AG171" s="8"/>
      <c r="AH171" s="91"/>
      <c r="AI171" s="110"/>
    </row>
    <row r="172" spans="2:38" ht="18" customHeight="1">
      <c r="B172" s="2"/>
      <c r="C172" s="2"/>
      <c r="D172" s="81"/>
      <c r="I172" s="652"/>
      <c r="J172" s="1481"/>
      <c r="K172" s="40"/>
      <c r="L172" s="1140"/>
      <c r="Q172" s="141"/>
      <c r="S172" s="40"/>
      <c r="W172" s="48"/>
      <c r="X172" s="46"/>
      <c r="Y172" s="124"/>
      <c r="Z172" s="48"/>
      <c r="AA172" s="66"/>
      <c r="AG172" s="46"/>
      <c r="AH172" s="91"/>
      <c r="AI172" s="110"/>
    </row>
    <row r="173" spans="2:38" ht="14.25" customHeight="1">
      <c r="B173" s="32"/>
      <c r="C173" s="4"/>
      <c r="D173" s="8"/>
      <c r="G173" s="40"/>
      <c r="I173" s="650"/>
      <c r="J173" s="1"/>
      <c r="K173" s="1"/>
      <c r="L173" s="1"/>
      <c r="Q173" s="142"/>
      <c r="R173" s="2"/>
      <c r="S173" s="2"/>
      <c r="T173" s="81"/>
      <c r="W173" s="48"/>
      <c r="X173" s="46"/>
      <c r="Y173" s="124"/>
      <c r="Z173" s="48"/>
      <c r="AA173" s="46"/>
      <c r="AB173" s="124"/>
      <c r="AE173" s="19"/>
    </row>
    <row r="174" spans="2:38" ht="15" customHeight="1">
      <c r="B174" s="32"/>
      <c r="C174"/>
      <c r="D174" s="8"/>
      <c r="G174" s="40"/>
      <c r="I174" s="650"/>
      <c r="J174" s="1"/>
      <c r="K174" s="1"/>
      <c r="L174" s="1"/>
      <c r="Q174" s="142"/>
      <c r="S174" s="40"/>
      <c r="W174" s="48"/>
      <c r="X174" s="46"/>
      <c r="Y174" s="124"/>
      <c r="Z174" s="48"/>
      <c r="AA174" s="46"/>
      <c r="AB174" s="124"/>
      <c r="AE174" s="155"/>
      <c r="AF174" s="87"/>
      <c r="AG174" s="347"/>
    </row>
    <row r="175" spans="2:38" ht="14.25" customHeight="1">
      <c r="I175" s="650"/>
      <c r="J175" s="1"/>
      <c r="K175" s="1"/>
      <c r="L175" s="1"/>
      <c r="P175" s="116"/>
      <c r="Q175" s="142"/>
      <c r="R175" s="32"/>
      <c r="S175" s="4"/>
      <c r="T175" s="8"/>
      <c r="W175" s="48"/>
      <c r="X175" s="46"/>
      <c r="Y175" s="124"/>
      <c r="AE175" s="4"/>
      <c r="AF175" s="8"/>
      <c r="AG175" s="137"/>
      <c r="AH175" s="32"/>
      <c r="AI175" s="4"/>
      <c r="AJ175" s="9"/>
    </row>
    <row r="176" spans="2:38" ht="17.25" customHeight="1">
      <c r="G176" s="40"/>
      <c r="I176" s="650"/>
      <c r="J176" s="1"/>
      <c r="K176" s="1"/>
      <c r="L176" s="1"/>
      <c r="P176" s="8"/>
      <c r="Q176" s="198"/>
      <c r="R176" s="32"/>
      <c r="T176" s="8"/>
      <c r="W176" s="4"/>
      <c r="X176" s="46"/>
      <c r="Y176" s="124"/>
      <c r="Z176" s="201"/>
      <c r="AE176" s="4"/>
      <c r="AF176" s="8"/>
      <c r="AG176" s="142"/>
      <c r="AH176" s="45"/>
      <c r="AI176" s="4"/>
      <c r="AJ176" s="3"/>
    </row>
    <row r="177" spans="6:34">
      <c r="G177" s="40"/>
      <c r="I177" s="650"/>
      <c r="J177" s="1"/>
      <c r="K177" s="1"/>
      <c r="L177" s="1"/>
      <c r="P177" s="8"/>
      <c r="Q177" s="142"/>
      <c r="U177" s="9"/>
      <c r="W177" s="91"/>
      <c r="X177" s="110"/>
      <c r="Y177" s="141"/>
      <c r="Z177" s="155"/>
      <c r="AA177" s="87"/>
      <c r="AB177" s="155"/>
      <c r="AE177" s="4"/>
      <c r="AF177" s="8"/>
      <c r="AG177" s="142"/>
      <c r="AH177" s="4"/>
    </row>
    <row r="178" spans="6:34" ht="12.75" customHeight="1">
      <c r="G178" s="40"/>
      <c r="I178" s="650"/>
      <c r="J178" s="1"/>
      <c r="K178" s="1"/>
      <c r="L178" s="1"/>
      <c r="P178" s="8"/>
      <c r="U178" s="48"/>
      <c r="W178" s="4"/>
      <c r="X178" s="8"/>
      <c r="Y178" s="137"/>
      <c r="Z178" s="48"/>
      <c r="AA178" s="46"/>
      <c r="AB178" s="124"/>
      <c r="AE178" s="4"/>
      <c r="AF178" s="8"/>
      <c r="AG178" s="142"/>
    </row>
    <row r="179" spans="6:34" ht="15" customHeight="1">
      <c r="G179" s="40"/>
      <c r="I179" s="650"/>
      <c r="J179" s="1"/>
      <c r="K179" s="1"/>
      <c r="L179" s="1"/>
      <c r="P179" s="8"/>
      <c r="Q179" s="136"/>
      <c r="U179" s="48"/>
      <c r="Z179" s="48"/>
      <c r="AA179" s="8"/>
      <c r="AB179" s="142"/>
      <c r="AC179" s="66"/>
      <c r="AE179" s="4"/>
      <c r="AF179" s="8"/>
      <c r="AG179" s="137"/>
    </row>
    <row r="180" spans="6:34" ht="15.75" customHeight="1">
      <c r="G180" s="40"/>
      <c r="I180" s="650"/>
      <c r="K180" s="40"/>
      <c r="U180" s="48"/>
      <c r="W180" s="48"/>
      <c r="X180" s="46"/>
      <c r="Y180" s="124"/>
      <c r="AA180" s="203"/>
      <c r="AB180" s="1"/>
      <c r="AC180" s="1"/>
      <c r="AE180" s="13"/>
      <c r="AF180" s="8"/>
    </row>
    <row r="181" spans="6:34" ht="15" customHeight="1">
      <c r="G181" s="40"/>
      <c r="I181" s="650"/>
      <c r="K181" s="40"/>
      <c r="U181" s="4"/>
      <c r="W181" s="48"/>
      <c r="X181" s="46"/>
      <c r="Y181" s="124"/>
      <c r="AA181" s="155"/>
      <c r="AB181" s="87"/>
      <c r="AC181" s="136"/>
      <c r="AE181" s="48"/>
      <c r="AF181" s="8"/>
      <c r="AG181" s="137"/>
    </row>
    <row r="182" spans="6:34" ht="15.75" customHeight="1">
      <c r="G182" s="40"/>
      <c r="I182" s="650"/>
      <c r="K182" s="40"/>
      <c r="P182" s="66"/>
      <c r="U182" s="4"/>
      <c r="W182" s="48"/>
      <c r="X182" s="46"/>
      <c r="Y182" s="124"/>
      <c r="AA182" s="48"/>
      <c r="AB182" s="46"/>
      <c r="AC182" s="124"/>
    </row>
    <row r="183" spans="6:34">
      <c r="G183" s="40"/>
      <c r="I183" s="650"/>
      <c r="K183" s="40"/>
      <c r="P183" s="66"/>
      <c r="U183" s="4"/>
      <c r="W183" s="48"/>
      <c r="X183" s="46"/>
      <c r="Y183" s="124"/>
      <c r="AA183" s="48"/>
      <c r="AB183" s="46"/>
      <c r="AC183" s="124"/>
    </row>
    <row r="184" spans="6:34" ht="12.75" customHeight="1">
      <c r="G184" s="40"/>
      <c r="I184" s="650"/>
      <c r="K184" s="40"/>
      <c r="P184" s="9"/>
      <c r="U184" s="4"/>
      <c r="W184" s="4"/>
      <c r="X184" s="46"/>
      <c r="Y184" s="124"/>
      <c r="AA184" s="48"/>
      <c r="AB184" s="46"/>
      <c r="AC184" s="124"/>
    </row>
    <row r="185" spans="6:34" ht="15.75" customHeight="1">
      <c r="F185" s="32"/>
      <c r="G185" s="4"/>
      <c r="H185" s="8"/>
      <c r="I185" s="670"/>
      <c r="J185" s="1"/>
      <c r="K185" s="1"/>
      <c r="L185" s="1"/>
      <c r="U185" s="4"/>
      <c r="W185" s="91"/>
      <c r="X185" s="110"/>
      <c r="Y185" s="141"/>
      <c r="AA185" s="48"/>
      <c r="AB185" s="46"/>
      <c r="AC185" s="124"/>
    </row>
    <row r="186" spans="6:34" ht="13.5" customHeight="1">
      <c r="G186" s="40"/>
      <c r="I186" s="652"/>
      <c r="K186" s="40"/>
      <c r="U186" s="4"/>
      <c r="W186" s="4"/>
      <c r="X186" s="8"/>
      <c r="Y186" s="137"/>
      <c r="AA186" s="4"/>
      <c r="AB186" s="46"/>
      <c r="AC186" s="124"/>
    </row>
    <row r="187" spans="6:34" ht="13.5" customHeight="1">
      <c r="G187" s="40"/>
      <c r="I187" s="652"/>
      <c r="K187" s="40"/>
      <c r="U187" s="4"/>
      <c r="W187" s="48"/>
      <c r="X187" s="66"/>
      <c r="Z187" s="48"/>
      <c r="AA187" s="91"/>
      <c r="AB187" s="110"/>
      <c r="AC187" s="141"/>
    </row>
    <row r="188" spans="6:34" ht="13.5" customHeight="1">
      <c r="G188" s="40"/>
      <c r="I188" s="652"/>
      <c r="K188" s="171"/>
      <c r="U188" s="4"/>
      <c r="V188" s="207"/>
      <c r="W188" s="48"/>
      <c r="X188" s="46"/>
      <c r="Y188" s="124"/>
      <c r="AA188" s="4"/>
      <c r="AB188" s="8"/>
      <c r="AC188" s="137"/>
    </row>
    <row r="189" spans="6:34" ht="13.5" customHeight="1">
      <c r="G189" s="169"/>
      <c r="I189" s="652"/>
      <c r="L189" s="94"/>
      <c r="U189" s="16"/>
      <c r="W189" s="48"/>
      <c r="X189" s="46"/>
      <c r="Y189" s="124"/>
      <c r="AA189" s="48"/>
      <c r="AB189" s="66"/>
    </row>
    <row r="190" spans="6:34" ht="13.5" customHeight="1">
      <c r="G190" s="40"/>
      <c r="I190" s="649"/>
      <c r="K190" s="40"/>
      <c r="W190" s="4"/>
      <c r="X190" s="8"/>
      <c r="Y190" s="1"/>
      <c r="AA190" s="48"/>
      <c r="AB190" s="46"/>
      <c r="AC190" s="124"/>
    </row>
    <row r="191" spans="6:34" ht="12.75" customHeight="1">
      <c r="F191" s="55"/>
      <c r="G191" s="46"/>
      <c r="I191" s="649"/>
      <c r="K191" s="40"/>
      <c r="P191" s="8"/>
      <c r="W191" s="4"/>
      <c r="X191" s="8"/>
      <c r="Y191" s="1"/>
      <c r="AA191" s="48"/>
      <c r="AB191" s="46"/>
      <c r="AC191" s="124"/>
    </row>
    <row r="192" spans="6:34" ht="15" customHeight="1">
      <c r="F192" s="33"/>
      <c r="G192" s="4"/>
      <c r="I192" s="649"/>
      <c r="K192" s="40"/>
      <c r="P192" s="8"/>
      <c r="W192" s="4"/>
      <c r="X192" s="8"/>
      <c r="Y192" s="1"/>
    </row>
    <row r="193" spans="6:35" ht="15.75" customHeight="1">
      <c r="G193" s="40"/>
      <c r="I193" s="650"/>
      <c r="K193" s="40"/>
      <c r="P193" s="40"/>
    </row>
    <row r="194" spans="6:35" ht="13.5" customHeight="1">
      <c r="G194" s="40"/>
      <c r="I194" s="650"/>
      <c r="K194" s="40"/>
      <c r="U194" s="4"/>
      <c r="V194" s="8"/>
      <c r="W194" s="155"/>
      <c r="X194" s="87"/>
      <c r="Y194" s="136"/>
    </row>
    <row r="195" spans="6:35">
      <c r="G195" s="40"/>
      <c r="I195" s="650"/>
      <c r="J195" s="1481"/>
      <c r="K195" s="40"/>
      <c r="L195" s="1140"/>
      <c r="P195" s="116"/>
      <c r="Q195" s="136"/>
    </row>
    <row r="196" spans="6:35" ht="15" customHeight="1">
      <c r="G196" s="40"/>
      <c r="I196" s="670"/>
      <c r="K196" s="40"/>
      <c r="Q196" s="124"/>
      <c r="W196" s="4"/>
      <c r="X196" s="8"/>
      <c r="Y196" s="142"/>
    </row>
    <row r="197" spans="6:35" ht="12.75" customHeight="1">
      <c r="F197" s="1"/>
      <c r="G197" s="40"/>
      <c r="I197" s="652"/>
      <c r="K197" s="40"/>
      <c r="P197" s="8"/>
      <c r="Q197" s="142"/>
    </row>
    <row r="198" spans="6:35" ht="15" customHeight="1">
      <c r="F198" s="32"/>
      <c r="G198" s="40"/>
      <c r="I198" s="649"/>
      <c r="K198" s="171"/>
      <c r="P198" s="8"/>
      <c r="Q198" s="140"/>
      <c r="W198" s="4"/>
      <c r="X198" s="8"/>
      <c r="Y198" s="142"/>
    </row>
    <row r="199" spans="6:35" ht="15" customHeight="1">
      <c r="F199" s="32"/>
      <c r="G199" s="4"/>
      <c r="I199" s="652"/>
      <c r="J199" s="1"/>
      <c r="K199" s="1"/>
      <c r="L199" s="1"/>
      <c r="Q199" s="198"/>
      <c r="W199" s="62"/>
      <c r="X199" s="116"/>
      <c r="Y199" s="1"/>
    </row>
    <row r="200" spans="6:35" ht="16.5" customHeight="1">
      <c r="F200" s="21"/>
      <c r="G200" s="16"/>
      <c r="I200" s="651"/>
      <c r="J200" s="1"/>
      <c r="K200" s="1"/>
      <c r="L200" s="1"/>
      <c r="Q200" s="141"/>
      <c r="S200" s="40"/>
      <c r="W200" s="62"/>
      <c r="X200" s="116"/>
      <c r="Y200" s="1"/>
    </row>
    <row r="201" spans="6:35" ht="14.25" customHeight="1">
      <c r="G201" s="169"/>
      <c r="I201" s="651"/>
      <c r="J201" s="1"/>
      <c r="K201" s="1"/>
      <c r="L201" s="1"/>
      <c r="Q201" s="138"/>
      <c r="S201" s="40"/>
      <c r="W201" s="4"/>
      <c r="X201" s="20"/>
      <c r="Y201" s="1"/>
    </row>
    <row r="202" spans="6:35" ht="15" customHeight="1">
      <c r="F202" s="63"/>
      <c r="G202" s="116"/>
      <c r="H202" s="116"/>
      <c r="I202" s="652"/>
      <c r="J202" s="1"/>
      <c r="K202" s="1"/>
      <c r="L202" s="1"/>
      <c r="Q202" s="124"/>
      <c r="S202" s="40"/>
      <c r="X202" s="87"/>
      <c r="Y202" s="347"/>
      <c r="Z202" s="87"/>
      <c r="AA202" s="347"/>
      <c r="AC202" s="48"/>
      <c r="AD202" s="105"/>
      <c r="AE202" s="4"/>
    </row>
    <row r="203" spans="6:35" ht="18" customHeight="1">
      <c r="F203" s="32"/>
      <c r="G203" s="4"/>
      <c r="H203" s="8"/>
      <c r="I203" s="652"/>
      <c r="J203" s="1"/>
      <c r="K203" s="1"/>
      <c r="L203" s="1"/>
      <c r="S203" s="40"/>
      <c r="W203" s="355"/>
      <c r="X203" s="8"/>
      <c r="Y203" s="142"/>
      <c r="Z203" s="449"/>
      <c r="AA203" s="450"/>
      <c r="AF203" s="87"/>
      <c r="AG203" s="347"/>
    </row>
    <row r="204" spans="6:35" ht="16.5" customHeight="1">
      <c r="F204" s="32"/>
      <c r="G204" s="4"/>
      <c r="H204" s="8"/>
      <c r="I204" s="652"/>
      <c r="J204" s="1"/>
      <c r="K204" s="1"/>
      <c r="L204" s="1"/>
      <c r="Q204" s="136"/>
      <c r="S204" s="40"/>
      <c r="U204" s="4"/>
      <c r="V204" s="4"/>
      <c r="W204" s="355"/>
      <c r="X204" s="8"/>
      <c r="Y204" s="142"/>
      <c r="Z204" s="169"/>
      <c r="AA204" s="450"/>
      <c r="AE204" s="4"/>
      <c r="AF204" s="8"/>
      <c r="AG204" s="142"/>
      <c r="AH204" s="4"/>
      <c r="AI204" s="8"/>
    </row>
    <row r="205" spans="6:35" ht="13.5" customHeight="1">
      <c r="F205" s="44"/>
      <c r="G205" s="4"/>
      <c r="H205" s="8"/>
      <c r="I205" s="652"/>
      <c r="Q205" s="142"/>
      <c r="S205" s="40"/>
      <c r="U205" s="9"/>
      <c r="W205" s="4"/>
      <c r="X205" s="8"/>
      <c r="Y205" s="142"/>
      <c r="Z205" s="169"/>
      <c r="AA205" s="450"/>
      <c r="AE205" s="45"/>
      <c r="AF205" s="296"/>
      <c r="AG205" s="124"/>
    </row>
    <row r="206" spans="6:35" ht="15" customHeight="1">
      <c r="F206" s="44"/>
      <c r="G206" s="4"/>
      <c r="H206" s="8"/>
      <c r="I206" s="651"/>
      <c r="P206" s="183"/>
      <c r="Q206" s="142"/>
      <c r="S206" s="40"/>
      <c r="U206" s="48"/>
      <c r="W206" s="4"/>
      <c r="X206" s="8"/>
      <c r="Y206" s="142"/>
      <c r="Z206" s="169"/>
      <c r="AA206" s="450"/>
      <c r="AE206" s="4"/>
      <c r="AF206" s="8"/>
      <c r="AG206" s="142"/>
      <c r="AH206" s="14"/>
      <c r="AI206" s="138"/>
    </row>
    <row r="207" spans="6:35" ht="15" customHeight="1">
      <c r="G207" s="40"/>
      <c r="I207" s="671"/>
      <c r="Q207" s="142"/>
      <c r="U207" s="48"/>
      <c r="W207" s="4"/>
      <c r="X207" s="110"/>
      <c r="Y207" s="141"/>
      <c r="Z207" s="169"/>
      <c r="AA207" s="450"/>
      <c r="AE207" s="4"/>
      <c r="AF207" s="32"/>
      <c r="AG207" s="142"/>
      <c r="AI207" s="138"/>
    </row>
    <row r="208" spans="6:35" ht="14.25" customHeight="1">
      <c r="G208" s="169"/>
      <c r="I208" s="652"/>
      <c r="P208" s="197"/>
      <c r="U208" s="48"/>
      <c r="W208" s="4"/>
      <c r="X208" s="8"/>
      <c r="Y208" s="137"/>
      <c r="Z208" s="169"/>
      <c r="AA208" s="450"/>
      <c r="AE208" s="91"/>
      <c r="AF208" s="115"/>
      <c r="AG208" s="198"/>
      <c r="AI208" s="138"/>
    </row>
    <row r="209" spans="6:35" ht="12.75" customHeight="1">
      <c r="F209" s="32"/>
      <c r="G209" s="4"/>
      <c r="H209" s="66"/>
      <c r="I209" s="649"/>
      <c r="P209" s="197"/>
      <c r="U209" s="4"/>
      <c r="W209" s="4"/>
      <c r="X209" s="8"/>
      <c r="Y209" s="137"/>
      <c r="Z209" s="169"/>
      <c r="AA209" s="450"/>
      <c r="AE209" s="4"/>
      <c r="AF209" s="110"/>
      <c r="AG209" s="141"/>
      <c r="AI209" s="138"/>
    </row>
    <row r="210" spans="6:35" ht="14.25" customHeight="1">
      <c r="F210" s="55"/>
      <c r="G210" s="46"/>
      <c r="H210" s="66"/>
      <c r="I210" s="649"/>
      <c r="U210" s="4"/>
      <c r="W210" s="91"/>
      <c r="X210" s="356"/>
      <c r="Y210" s="357"/>
      <c r="Z210" s="169"/>
      <c r="AA210" s="450"/>
      <c r="AE210" s="91"/>
      <c r="AF210" s="8"/>
      <c r="AG210" s="142"/>
      <c r="AI210" s="1"/>
    </row>
    <row r="211" spans="6:35" ht="15.75" customHeight="1">
      <c r="F211" s="30"/>
      <c r="G211" s="4"/>
      <c r="H211" s="9"/>
      <c r="I211" s="652"/>
      <c r="U211" s="4"/>
      <c r="W211" s="4"/>
      <c r="X211" s="32"/>
      <c r="Y211" s="315"/>
      <c r="Z211" s="452"/>
      <c r="AA211" s="450"/>
      <c r="AE211" s="4"/>
      <c r="AF211" s="8"/>
      <c r="AG211" s="142"/>
      <c r="AH211" s="14"/>
      <c r="AI211" s="138"/>
    </row>
    <row r="212" spans="6:35" ht="12.75" customHeight="1">
      <c r="G212" s="40"/>
      <c r="I212" s="652"/>
      <c r="S212" s="40"/>
      <c r="U212" s="4"/>
      <c r="W212" s="4"/>
      <c r="X212" s="32"/>
      <c r="Y212" s="142"/>
      <c r="Z212" s="169"/>
      <c r="AA212" s="450"/>
      <c r="AE212" s="4"/>
      <c r="AF212" s="8"/>
      <c r="AG212" s="142"/>
      <c r="AH212" s="116"/>
      <c r="AI212" s="140"/>
    </row>
    <row r="213" spans="6:35" ht="15" customHeight="1">
      <c r="G213" s="40"/>
      <c r="I213" s="650"/>
      <c r="S213" s="40"/>
      <c r="U213" s="4"/>
      <c r="W213" s="91"/>
      <c r="X213" s="115"/>
      <c r="Y213" s="198"/>
      <c r="Z213" s="169"/>
      <c r="AA213" s="450"/>
      <c r="AE213" s="4"/>
      <c r="AF213" s="32"/>
      <c r="AG213" s="142"/>
      <c r="AI213" s="138"/>
    </row>
    <row r="214" spans="6:35" ht="15" customHeight="1">
      <c r="G214" s="40"/>
      <c r="I214" s="678"/>
      <c r="P214" s="8"/>
      <c r="S214" s="40"/>
      <c r="U214" s="4"/>
      <c r="W214" s="48"/>
      <c r="X214" s="20"/>
      <c r="Y214" s="20"/>
      <c r="Z214" s="169"/>
      <c r="AA214" s="450"/>
      <c r="AE214" s="91"/>
      <c r="AF214" s="115"/>
      <c r="AG214" s="198"/>
      <c r="AH214" s="46"/>
      <c r="AI214" s="124"/>
    </row>
    <row r="215" spans="6:35" ht="12.75" customHeight="1">
      <c r="G215" s="7"/>
      <c r="I215" s="650"/>
      <c r="P215" s="8"/>
      <c r="S215" s="40"/>
      <c r="U215" s="4"/>
      <c r="W215" s="91"/>
      <c r="X215" s="20"/>
      <c r="Z215" s="169"/>
      <c r="AA215" s="450"/>
    </row>
    <row r="216" spans="6:35" ht="12.75" customHeight="1">
      <c r="G216" s="40"/>
      <c r="I216" s="679"/>
      <c r="P216" s="40"/>
      <c r="S216" s="40"/>
      <c r="U216" s="4"/>
      <c r="W216" s="4"/>
      <c r="X216" s="20"/>
      <c r="Y216" s="20"/>
      <c r="Z216" s="169"/>
      <c r="AA216" s="450"/>
      <c r="AG216" s="4"/>
      <c r="AH216" s="14"/>
      <c r="AI216" s="138"/>
    </row>
    <row r="217" spans="6:35" ht="12" customHeight="1">
      <c r="F217" s="2"/>
      <c r="G217" s="40"/>
      <c r="I217" s="650"/>
      <c r="S217" s="40"/>
      <c r="U217" s="16"/>
      <c r="W217" s="48"/>
      <c r="X217" s="20"/>
      <c r="Y217" s="460"/>
      <c r="Z217" s="169"/>
      <c r="AA217" s="450"/>
      <c r="AG217" s="4"/>
      <c r="AH217" s="14"/>
      <c r="AI217" s="138"/>
    </row>
    <row r="218" spans="6:35" ht="12.75" customHeight="1">
      <c r="F218" s="32"/>
      <c r="G218" s="40"/>
      <c r="H218" s="8"/>
      <c r="I218" s="650"/>
      <c r="P218" s="46"/>
      <c r="S218" s="40"/>
      <c r="W218" s="48"/>
      <c r="X218" s="20"/>
      <c r="Y218" s="451"/>
      <c r="Z218" s="169"/>
      <c r="AA218" s="450"/>
      <c r="AG218" s="4"/>
    </row>
    <row r="219" spans="6:35" ht="14.25" customHeight="1">
      <c r="F219" s="32"/>
      <c r="G219" s="4"/>
      <c r="H219" s="8"/>
      <c r="I219" s="650"/>
      <c r="P219" s="8"/>
      <c r="S219" s="40"/>
      <c r="W219" s="48"/>
      <c r="X219" s="20"/>
      <c r="Y219" s="451"/>
      <c r="Z219" s="169"/>
      <c r="AA219" s="450"/>
      <c r="AG219" s="91"/>
      <c r="AH219" s="115"/>
    </row>
    <row r="220" spans="6:35" ht="15.75">
      <c r="F220" s="39"/>
      <c r="G220" s="4"/>
      <c r="H220" s="40"/>
      <c r="I220" s="650"/>
      <c r="S220" s="40"/>
      <c r="W220" s="48"/>
      <c r="X220" s="20"/>
      <c r="Y220" s="451"/>
      <c r="Z220" s="169"/>
      <c r="AA220" s="450"/>
      <c r="AG220" s="91"/>
      <c r="AH220" s="110"/>
      <c r="AI220" s="140"/>
    </row>
    <row r="221" spans="6:35" ht="15.75">
      <c r="G221" s="169"/>
      <c r="I221" s="650"/>
      <c r="P221" s="62"/>
      <c r="S221" s="40"/>
      <c r="W221" s="48"/>
      <c r="X221" s="20"/>
      <c r="Y221" s="451"/>
      <c r="Z221" s="169"/>
      <c r="AA221" s="450"/>
      <c r="AG221" s="4"/>
      <c r="AH221" s="116"/>
      <c r="AI221" s="140"/>
    </row>
    <row r="222" spans="6:35" ht="15" customHeight="1">
      <c r="F222" s="63"/>
      <c r="G222" s="116"/>
      <c r="H222" s="116"/>
      <c r="I222" s="650"/>
      <c r="P222" s="8"/>
      <c r="S222" s="40"/>
      <c r="U222" s="4"/>
      <c r="V222" s="8"/>
      <c r="AD222" s="32"/>
      <c r="AE222" s="62"/>
      <c r="AG222" s="4"/>
    </row>
    <row r="223" spans="6:35" ht="13.5" customHeight="1">
      <c r="G223" s="40"/>
      <c r="I223" s="650"/>
      <c r="P223" s="46"/>
      <c r="S223" s="40"/>
      <c r="X223" s="142"/>
      <c r="Y223" s="142"/>
      <c r="AA223" s="450"/>
    </row>
    <row r="224" spans="6:35" ht="13.5" customHeight="1">
      <c r="F224" s="32"/>
      <c r="G224" s="4"/>
      <c r="H224" s="8"/>
      <c r="I224" s="650"/>
      <c r="S224" s="40"/>
      <c r="X224" s="124"/>
      <c r="Y224" s="124"/>
    </row>
    <row r="225" spans="6:39" ht="14.25" customHeight="1">
      <c r="F225" s="32"/>
      <c r="G225" s="4"/>
      <c r="H225" s="8"/>
      <c r="I225" s="650"/>
      <c r="S225" s="40"/>
      <c r="X225" s="142"/>
      <c r="Y225" s="142"/>
    </row>
    <row r="226" spans="6:39" ht="12.75" customHeight="1">
      <c r="G226" s="40"/>
      <c r="I226" s="650"/>
      <c r="S226" s="40"/>
      <c r="X226" s="142"/>
      <c r="Y226" s="142"/>
    </row>
    <row r="227" spans="6:39" ht="14.25" customHeight="1">
      <c r="G227" s="40"/>
      <c r="I227" s="650"/>
      <c r="S227" s="171"/>
      <c r="W227" s="5"/>
      <c r="X227" s="198"/>
      <c r="Y227" s="198"/>
    </row>
    <row r="228" spans="6:39" ht="15.75" customHeight="1">
      <c r="G228" s="40"/>
      <c r="I228" s="676"/>
      <c r="S228" s="40"/>
      <c r="W228" s="448"/>
      <c r="X228" s="141"/>
      <c r="Y228" s="141"/>
    </row>
    <row r="229" spans="6:39" ht="15" customHeight="1">
      <c r="G229" s="40"/>
      <c r="I229" s="670"/>
      <c r="P229" s="8"/>
      <c r="S229" s="40"/>
      <c r="T229" s="353"/>
      <c r="W229" s="448"/>
    </row>
    <row r="230" spans="6:39" ht="13.5" customHeight="1">
      <c r="G230" s="40"/>
      <c r="I230" s="652"/>
      <c r="P230" s="40"/>
      <c r="S230" s="40"/>
      <c r="W230" s="448"/>
    </row>
    <row r="231" spans="6:39" ht="13.5" customHeight="1">
      <c r="G231" s="40"/>
      <c r="I231" s="652"/>
      <c r="P231" s="183"/>
      <c r="R231" s="2"/>
      <c r="S231" s="2"/>
      <c r="T231" s="81"/>
      <c r="U231" s="142"/>
      <c r="V231" s="142"/>
      <c r="W231" s="48"/>
      <c r="X231" s="46"/>
      <c r="Y231" s="124"/>
      <c r="Z231" s="183"/>
      <c r="AA231" s="124"/>
      <c r="AC231" s="124"/>
      <c r="AD231" s="124"/>
    </row>
    <row r="232" spans="6:39" ht="14.25" customHeight="1">
      <c r="G232" s="169"/>
      <c r="I232" s="652"/>
      <c r="K232" s="40"/>
      <c r="S232" s="40"/>
      <c r="U232" s="142"/>
      <c r="V232" s="142"/>
      <c r="W232" s="4"/>
      <c r="Y232" s="87"/>
      <c r="Z232" s="347"/>
      <c r="AA232" s="87"/>
      <c r="AB232" s="347"/>
      <c r="AD232" s="48"/>
      <c r="AE232" s="105"/>
    </row>
    <row r="233" spans="6:39" ht="15" customHeight="1">
      <c r="F233" s="32"/>
      <c r="G233" s="4"/>
      <c r="H233" s="183"/>
      <c r="I233" s="680"/>
      <c r="K233" s="40"/>
      <c r="R233" s="32"/>
      <c r="S233" s="4"/>
      <c r="T233" s="8"/>
      <c r="U233" s="142"/>
      <c r="V233" s="142"/>
      <c r="W233" s="48"/>
      <c r="X233" s="4"/>
      <c r="Y233" s="8"/>
      <c r="Z233" s="142"/>
      <c r="AA233" s="449"/>
      <c r="AB233" s="450"/>
    </row>
    <row r="234" spans="6:39">
      <c r="G234" s="40"/>
      <c r="I234" s="670"/>
      <c r="K234" s="40"/>
      <c r="Q234" s="136"/>
      <c r="R234" s="32"/>
      <c r="T234" s="8"/>
      <c r="W234" s="48"/>
      <c r="X234" s="48"/>
      <c r="Y234" s="46"/>
      <c r="Z234" s="124"/>
      <c r="AA234" s="169"/>
      <c r="AB234" s="450"/>
    </row>
    <row r="235" spans="6:39">
      <c r="F235" s="197"/>
      <c r="G235" s="199"/>
      <c r="H235" s="197"/>
      <c r="I235" s="651"/>
      <c r="K235" s="40"/>
      <c r="Q235" s="142"/>
      <c r="W235" s="48"/>
      <c r="X235" s="4"/>
      <c r="Y235" s="8"/>
      <c r="Z235" s="659"/>
      <c r="AA235" s="169"/>
      <c r="AB235" s="450"/>
      <c r="AH235" s="46"/>
      <c r="AI235" s="142"/>
      <c r="AJ235" s="183"/>
      <c r="AK235" s="142"/>
      <c r="AM235" s="124"/>
    </row>
    <row r="236" spans="6:39" ht="12.75" customHeight="1">
      <c r="F236" s="197"/>
      <c r="G236" s="199"/>
      <c r="H236" s="197"/>
      <c r="I236" s="651"/>
      <c r="J236" s="1"/>
      <c r="K236" s="1"/>
      <c r="L236" s="1"/>
      <c r="U236" s="9"/>
      <c r="W236" s="48"/>
      <c r="X236" s="91"/>
      <c r="Y236" s="110"/>
      <c r="Z236" s="141"/>
      <c r="AA236" s="169"/>
      <c r="AB236" s="450"/>
      <c r="AH236" s="201"/>
    </row>
    <row r="237" spans="6:39">
      <c r="G237" s="40"/>
      <c r="I237" s="651"/>
      <c r="J237" s="1"/>
      <c r="K237" s="1"/>
      <c r="L237" s="1"/>
      <c r="U237" s="48"/>
      <c r="W237" s="4"/>
      <c r="X237" s="4"/>
      <c r="Y237" s="8"/>
      <c r="Z237" s="142"/>
      <c r="AA237" s="169"/>
      <c r="AB237" s="450"/>
      <c r="AH237" s="48"/>
      <c r="AI237" s="46"/>
      <c r="AJ237" s="124"/>
      <c r="AK237" s="62"/>
      <c r="AL237" s="46"/>
      <c r="AM237" s="140"/>
    </row>
    <row r="238" spans="6:39" ht="14.25" customHeight="1">
      <c r="G238" s="40"/>
      <c r="I238" s="651"/>
      <c r="J238" s="1"/>
      <c r="K238" s="1"/>
      <c r="L238" s="1"/>
      <c r="U238" s="48"/>
      <c r="X238" s="62"/>
      <c r="Y238" s="116"/>
      <c r="Z238" s="450"/>
      <c r="AA238" s="169"/>
      <c r="AB238" s="450"/>
      <c r="AG238" s="94"/>
      <c r="AH238" s="183"/>
      <c r="AI238" s="183"/>
      <c r="AJ238" s="142"/>
      <c r="AK238" s="4"/>
      <c r="AL238" s="8"/>
      <c r="AM238" s="137"/>
    </row>
    <row r="239" spans="6:39" ht="12.75" customHeight="1">
      <c r="G239" s="40"/>
      <c r="I239" s="651"/>
      <c r="J239" s="1"/>
      <c r="K239" s="1"/>
      <c r="L239" s="1"/>
      <c r="U239" s="48"/>
      <c r="X239" s="4"/>
      <c r="Y239" s="8"/>
      <c r="Z239" s="137"/>
      <c r="AA239" s="169"/>
      <c r="AB239" s="450"/>
      <c r="AF239" s="155"/>
      <c r="AG239" s="87"/>
      <c r="AI239" s="48"/>
      <c r="AK239" s="653"/>
      <c r="AL239" s="8"/>
      <c r="AM239" s="142"/>
    </row>
    <row r="240" spans="6:39" ht="13.5" customHeight="1">
      <c r="I240" s="652"/>
      <c r="J240" s="1"/>
      <c r="K240" s="1"/>
      <c r="L240" s="1"/>
      <c r="U240" s="48"/>
      <c r="X240" s="4"/>
      <c r="Y240" s="8"/>
      <c r="Z240" s="142"/>
      <c r="AA240" s="169"/>
      <c r="AB240" s="450"/>
      <c r="AF240" s="4"/>
      <c r="AG240" s="14"/>
      <c r="AH240" s="48"/>
      <c r="AI240" s="46"/>
      <c r="AJ240" s="124"/>
      <c r="AK240" s="4"/>
      <c r="AL240" s="8"/>
      <c r="AM240" s="137"/>
    </row>
    <row r="241" spans="6:41">
      <c r="F241" s="32"/>
      <c r="G241" s="40"/>
      <c r="H241" s="8"/>
      <c r="I241" s="650"/>
      <c r="J241" s="1"/>
      <c r="K241" s="1"/>
      <c r="L241" s="1"/>
      <c r="P241" s="5"/>
      <c r="U241" s="48"/>
      <c r="X241" s="4"/>
      <c r="Y241" s="8"/>
      <c r="Z241" s="142"/>
      <c r="AA241" s="452"/>
      <c r="AB241" s="450"/>
      <c r="AF241" s="4"/>
      <c r="AG241" s="211"/>
      <c r="AH241" s="4"/>
      <c r="AI241" s="8"/>
      <c r="AJ241" s="142"/>
      <c r="AK241" s="653"/>
      <c r="AL241" s="8"/>
      <c r="AM241" s="142"/>
    </row>
    <row r="242" spans="6:41">
      <c r="F242" s="32"/>
      <c r="G242" s="4"/>
      <c r="H242" s="8"/>
      <c r="I242" s="681"/>
      <c r="J242" s="1"/>
      <c r="K242" s="1"/>
      <c r="L242" s="1"/>
      <c r="U242" s="4"/>
      <c r="X242" s="4"/>
      <c r="Y242" s="32"/>
      <c r="Z242" s="142"/>
      <c r="AA242" s="169"/>
      <c r="AB242" s="450"/>
      <c r="AF242" s="4"/>
      <c r="AH242" s="183"/>
      <c r="AI242" s="183"/>
      <c r="AJ242" s="142"/>
    </row>
    <row r="243" spans="6:41" ht="15.75">
      <c r="F243" s="39"/>
      <c r="H243" s="40"/>
      <c r="I243" s="670"/>
      <c r="K243" s="40"/>
      <c r="U243" s="4"/>
      <c r="X243" s="91"/>
      <c r="Y243" s="115"/>
      <c r="Z243" s="198"/>
      <c r="AA243" s="169"/>
      <c r="AB243" s="450"/>
      <c r="AF243" s="48"/>
      <c r="AG243" s="46"/>
      <c r="AH243" s="91"/>
      <c r="AI243" s="110"/>
      <c r="AJ243" s="141"/>
      <c r="AK243" s="32"/>
      <c r="AL243" s="4"/>
      <c r="AM243" s="8"/>
    </row>
    <row r="244" spans="6:41" ht="14.25" customHeight="1">
      <c r="G244" s="169"/>
      <c r="I244" s="682"/>
      <c r="K244" s="40"/>
      <c r="U244" s="4"/>
      <c r="V244" s="209"/>
      <c r="X244" s="48"/>
      <c r="Y244" s="20"/>
      <c r="Z244" s="20"/>
      <c r="AA244" s="169"/>
      <c r="AB244" s="450"/>
      <c r="AF244" s="4"/>
      <c r="AH244" s="4"/>
      <c r="AI244" s="8"/>
      <c r="AJ244" s="142"/>
      <c r="AL244" s="4"/>
      <c r="AM244" s="8"/>
    </row>
    <row r="245" spans="6:41" ht="13.5" customHeight="1">
      <c r="F245" s="119"/>
      <c r="G245" s="116"/>
      <c r="H245" s="46"/>
      <c r="I245" s="683"/>
      <c r="K245" s="40"/>
      <c r="U245" s="4"/>
      <c r="V245" s="209"/>
      <c r="X245" s="91"/>
      <c r="Y245" s="20"/>
      <c r="AA245" s="169"/>
      <c r="AB245" s="450"/>
    </row>
    <row r="246" spans="6:41" ht="15.75">
      <c r="F246" s="32"/>
      <c r="G246" s="4"/>
      <c r="H246" s="8"/>
      <c r="I246" s="683"/>
      <c r="J246" s="1"/>
      <c r="K246" s="1"/>
      <c r="L246" s="1"/>
      <c r="U246" s="4"/>
      <c r="X246" s="4"/>
      <c r="Y246" s="20"/>
      <c r="Z246" s="20"/>
      <c r="AA246" s="169"/>
      <c r="AB246" s="450"/>
    </row>
    <row r="247" spans="6:41" ht="12.75" customHeight="1">
      <c r="G247" s="4"/>
      <c r="I247" s="652"/>
      <c r="K247" s="40"/>
      <c r="U247" s="4"/>
      <c r="X247" s="48"/>
      <c r="Y247" s="20"/>
      <c r="Z247" s="460"/>
      <c r="AA247" s="169"/>
      <c r="AB247" s="450"/>
    </row>
    <row r="248" spans="6:41" ht="15.75">
      <c r="F248" s="32"/>
      <c r="G248" s="62"/>
      <c r="H248" s="62"/>
      <c r="I248" s="652"/>
      <c r="K248" s="40"/>
      <c r="U248" s="4"/>
      <c r="X248" s="48"/>
      <c r="Y248" s="20"/>
      <c r="Z248" s="451"/>
      <c r="AA248" s="169"/>
      <c r="AB248" s="450"/>
    </row>
    <row r="249" spans="6:41" ht="15.75">
      <c r="F249" s="32"/>
      <c r="G249" s="4"/>
      <c r="H249" s="8"/>
      <c r="I249" s="651"/>
      <c r="K249" s="40"/>
      <c r="U249" s="4"/>
      <c r="V249" s="207"/>
      <c r="X249" s="48"/>
      <c r="Y249" s="20"/>
      <c r="Z249" s="451"/>
      <c r="AA249" s="169"/>
      <c r="AB249" s="450"/>
    </row>
    <row r="250" spans="6:41" ht="15.75">
      <c r="F250" s="32"/>
      <c r="G250" s="4"/>
      <c r="H250" s="46"/>
      <c r="I250" s="683"/>
      <c r="J250" s="32"/>
      <c r="K250" s="4"/>
      <c r="L250" s="9"/>
      <c r="P250" s="8"/>
      <c r="U250" s="16"/>
      <c r="X250" s="48"/>
      <c r="Y250" s="20"/>
      <c r="Z250" s="451"/>
      <c r="AA250" s="169"/>
      <c r="AB250" s="450"/>
    </row>
    <row r="251" spans="6:41" ht="15.75">
      <c r="G251" s="40"/>
      <c r="I251" s="683"/>
      <c r="J251" s="1"/>
      <c r="K251" s="1"/>
      <c r="L251" s="1"/>
      <c r="Q251" s="136"/>
      <c r="U251" s="4"/>
      <c r="X251" s="48"/>
      <c r="Y251" s="20"/>
      <c r="Z251" s="451"/>
      <c r="AA251" s="169"/>
      <c r="AB251" s="450"/>
    </row>
    <row r="252" spans="6:41" ht="14.25" customHeight="1">
      <c r="G252" s="40"/>
      <c r="I252" s="683"/>
      <c r="J252" s="1"/>
      <c r="K252" s="1"/>
      <c r="L252" s="1"/>
      <c r="P252" s="116"/>
      <c r="X252" s="202"/>
      <c r="AA252" s="657"/>
      <c r="AD252" s="203"/>
      <c r="AG252" s="202"/>
      <c r="AJ252" s="657"/>
      <c r="AM252" s="203"/>
    </row>
    <row r="253" spans="6:41" ht="12.75" customHeight="1">
      <c r="G253" s="40"/>
      <c r="I253" s="652"/>
      <c r="J253" s="32"/>
      <c r="K253" s="4"/>
      <c r="L253" s="9"/>
      <c r="P253" s="8"/>
      <c r="Q253" s="124"/>
      <c r="U253" s="4"/>
      <c r="V253" s="8"/>
      <c r="X253" s="155"/>
      <c r="Y253" s="87"/>
      <c r="Z253" s="136"/>
      <c r="AA253" s="155"/>
      <c r="AB253" s="87"/>
      <c r="AC253" s="136"/>
      <c r="AD253" s="155"/>
      <c r="AE253" s="87"/>
      <c r="AF253" s="136"/>
      <c r="AG253" s="155"/>
      <c r="AH253" s="87"/>
      <c r="AI253" s="136"/>
      <c r="AJ253" s="155"/>
      <c r="AK253" s="87"/>
      <c r="AL253" s="136"/>
      <c r="AM253" s="155"/>
      <c r="AN253" s="87"/>
      <c r="AO253" s="136"/>
    </row>
    <row r="254" spans="6:41" ht="14.25" customHeight="1">
      <c r="G254" s="169"/>
      <c r="I254" s="649"/>
      <c r="J254" s="32"/>
      <c r="K254" s="4"/>
      <c r="L254" s="9"/>
      <c r="P254" s="8"/>
      <c r="Q254" s="142"/>
      <c r="W254" s="20"/>
      <c r="X254" s="46"/>
      <c r="Y254" s="214"/>
      <c r="Z254" s="124"/>
      <c r="AA254" s="183"/>
      <c r="AB254" s="183"/>
      <c r="AC254" s="124"/>
      <c r="AD254" s="48"/>
      <c r="AE254" s="46"/>
      <c r="AF254" s="124"/>
      <c r="AG254" s="46"/>
      <c r="AH254" s="214"/>
      <c r="AI254" s="124"/>
      <c r="AJ254" s="183"/>
      <c r="AK254" s="183"/>
      <c r="AL254" s="124"/>
      <c r="AM254" s="48"/>
      <c r="AN254" s="46"/>
      <c r="AO254" s="124"/>
    </row>
    <row r="255" spans="6:41" ht="14.25" customHeight="1">
      <c r="G255" s="40"/>
      <c r="I255" s="649"/>
      <c r="K255" s="40"/>
      <c r="P255" s="8"/>
      <c r="Q255" s="142"/>
      <c r="W255" s="20"/>
      <c r="X255" s="8"/>
      <c r="Y255" s="8"/>
      <c r="Z255" s="140"/>
      <c r="AA255" s="183"/>
      <c r="AB255" s="183"/>
      <c r="AC255" s="142"/>
      <c r="AD255" s="4"/>
      <c r="AE255" s="8"/>
      <c r="AF255" s="142"/>
      <c r="AG255" s="8"/>
      <c r="AH255" s="8"/>
      <c r="AI255" s="140"/>
      <c r="AJ255" s="183"/>
      <c r="AK255" s="183"/>
      <c r="AL255" s="142"/>
      <c r="AM255" s="4"/>
      <c r="AN255" s="8"/>
      <c r="AO255" s="142"/>
    </row>
    <row r="256" spans="6:41" ht="13.5" customHeight="1">
      <c r="F256" s="32"/>
      <c r="G256" s="4"/>
      <c r="H256" s="8"/>
      <c r="I256" s="650"/>
      <c r="K256" s="40"/>
      <c r="P256" s="46"/>
      <c r="Q256" s="142"/>
      <c r="S256" s="40"/>
      <c r="X256" s="8"/>
      <c r="Y256" s="8"/>
      <c r="Z256" s="124"/>
      <c r="AA256" s="4"/>
      <c r="AB256" s="8"/>
      <c r="AC256" s="142"/>
      <c r="AD256" s="48"/>
      <c r="AE256" s="46"/>
      <c r="AF256" s="124"/>
      <c r="AG256" s="8"/>
      <c r="AH256" s="8"/>
      <c r="AI256" s="124"/>
      <c r="AJ256" s="4"/>
      <c r="AK256" s="8"/>
      <c r="AL256" s="142"/>
      <c r="AM256" s="48"/>
      <c r="AN256" s="46"/>
      <c r="AO256" s="124"/>
    </row>
    <row r="257" spans="6:41" ht="14.25" customHeight="1">
      <c r="G257" s="4"/>
      <c r="H257" s="40"/>
      <c r="I257" s="650"/>
      <c r="K257" s="40"/>
      <c r="P257" s="8"/>
      <c r="Q257" s="142"/>
      <c r="X257" s="183"/>
      <c r="Y257" s="183"/>
      <c r="Z257" s="124"/>
      <c r="AA257" s="4"/>
      <c r="AB257" s="8"/>
      <c r="AC257" s="142"/>
      <c r="AD257" s="48"/>
      <c r="AE257" s="46"/>
      <c r="AF257" s="142"/>
      <c r="AG257" s="183"/>
      <c r="AH257" s="183"/>
      <c r="AI257" s="124"/>
      <c r="AJ257" s="4"/>
      <c r="AK257" s="8"/>
      <c r="AL257" s="142"/>
      <c r="AM257" s="48"/>
      <c r="AN257" s="46"/>
      <c r="AO257" s="142"/>
    </row>
    <row r="258" spans="6:41">
      <c r="F258" s="32"/>
      <c r="G258" s="4"/>
      <c r="H258" s="183"/>
      <c r="I258" s="670"/>
      <c r="K258" s="40"/>
      <c r="P258" s="8"/>
      <c r="Q258" s="352"/>
      <c r="X258" s="183"/>
      <c r="Y258" s="183"/>
      <c r="Z258" s="142"/>
      <c r="AD258" s="48"/>
      <c r="AE258" s="46"/>
      <c r="AF258" s="141"/>
      <c r="AG258" s="183"/>
      <c r="AH258" s="183"/>
      <c r="AI258" s="142"/>
      <c r="AM258" s="48"/>
      <c r="AN258" s="46"/>
      <c r="AO258" s="141"/>
    </row>
    <row r="259" spans="6:41" ht="14.25" customHeight="1">
      <c r="G259" s="40"/>
      <c r="I259" s="652"/>
      <c r="J259" s="32"/>
      <c r="K259" s="4"/>
      <c r="L259" s="9"/>
      <c r="AA259" s="55"/>
      <c r="AB259" s="116"/>
      <c r="AC259" s="46"/>
      <c r="AD259" s="48"/>
      <c r="AE259" s="46"/>
      <c r="AF259" s="141"/>
      <c r="AM259" s="48"/>
      <c r="AN259" s="46"/>
      <c r="AO259" s="141"/>
    </row>
    <row r="260" spans="6:41" ht="15" customHeight="1">
      <c r="G260" s="40"/>
      <c r="I260" s="652"/>
      <c r="K260" s="1"/>
      <c r="U260" s="4"/>
      <c r="V260" s="4"/>
      <c r="AA260" s="32"/>
      <c r="AB260" s="4"/>
      <c r="AC260" s="8"/>
      <c r="AD260" s="4"/>
      <c r="AE260" s="8"/>
      <c r="AF260" s="142"/>
      <c r="AM260" s="4"/>
      <c r="AN260" s="8"/>
      <c r="AO260" s="142"/>
    </row>
    <row r="261" spans="6:41">
      <c r="G261" s="40"/>
      <c r="I261" s="652"/>
      <c r="J261" s="1"/>
      <c r="K261" s="1"/>
      <c r="L261" s="1"/>
      <c r="S261" s="40"/>
      <c r="U261" s="9"/>
      <c r="X261" s="14"/>
      <c r="AA261" s="32"/>
      <c r="AB261" s="4"/>
      <c r="AC261" s="8"/>
    </row>
    <row r="262" spans="6:41">
      <c r="G262" s="40"/>
      <c r="I262" s="652"/>
      <c r="J262" s="1"/>
      <c r="K262" s="1"/>
      <c r="L262" s="1"/>
      <c r="S262" s="40"/>
      <c r="U262" s="48"/>
      <c r="X262" s="62"/>
      <c r="AA262" s="45"/>
      <c r="AB262" s="4"/>
      <c r="AC262" s="46"/>
    </row>
    <row r="263" spans="6:41">
      <c r="G263" s="40"/>
      <c r="I263" s="650"/>
      <c r="J263" s="1"/>
      <c r="K263" s="1"/>
      <c r="L263" s="1"/>
      <c r="Q263" s="136"/>
      <c r="S263" s="40"/>
      <c r="U263" s="48"/>
      <c r="X263" s="62"/>
      <c r="Y263" s="1"/>
      <c r="AA263" s="385"/>
      <c r="AB263" s="4"/>
      <c r="AC263" s="46"/>
    </row>
    <row r="264" spans="6:41">
      <c r="G264" s="40"/>
      <c r="I264" s="650"/>
      <c r="J264" s="1"/>
      <c r="K264" s="1"/>
      <c r="L264" s="1"/>
      <c r="P264" s="46"/>
      <c r="Q264" s="138"/>
      <c r="S264" s="40"/>
      <c r="U264" s="48"/>
      <c r="V264" s="134"/>
      <c r="X264" s="62"/>
      <c r="Y264" s="1"/>
      <c r="AA264" s="44"/>
      <c r="AB264" s="4"/>
      <c r="AC264" s="8"/>
    </row>
    <row r="265" spans="6:41">
      <c r="G265" s="40"/>
      <c r="I265" s="650"/>
      <c r="J265" s="1"/>
      <c r="K265" s="1"/>
      <c r="L265" s="1"/>
      <c r="P265" s="46"/>
      <c r="Q265" s="137"/>
      <c r="S265" s="40"/>
      <c r="U265" s="4"/>
      <c r="X265" s="62"/>
      <c r="Y265" s="1"/>
      <c r="AA265" s="44"/>
      <c r="AB265" s="4"/>
      <c r="AC265" s="8"/>
    </row>
    <row r="266" spans="6:41">
      <c r="G266" s="40"/>
      <c r="I266" s="650"/>
      <c r="J266" s="1"/>
      <c r="K266" s="1"/>
      <c r="L266" s="1"/>
      <c r="P266" s="8"/>
      <c r="Q266" s="142"/>
      <c r="S266" s="40"/>
      <c r="U266" s="4"/>
    </row>
    <row r="267" spans="6:41">
      <c r="G267" s="40"/>
      <c r="I267" s="650"/>
      <c r="J267" s="1"/>
      <c r="K267" s="1"/>
      <c r="L267" s="1"/>
      <c r="P267" s="8"/>
      <c r="Q267" s="142"/>
      <c r="S267" s="40"/>
      <c r="U267" s="4"/>
    </row>
    <row r="268" spans="6:41">
      <c r="F268" s="2"/>
      <c r="G268" s="2"/>
      <c r="H268" s="5"/>
      <c r="I268" s="650"/>
      <c r="J268" s="1"/>
      <c r="K268" s="1"/>
      <c r="L268" s="1"/>
      <c r="Q268" s="142"/>
      <c r="S268" s="40"/>
      <c r="U268" s="4"/>
      <c r="X268" s="30"/>
      <c r="Y268" s="4"/>
      <c r="Z268" s="8"/>
    </row>
    <row r="269" spans="6:41">
      <c r="G269" s="7"/>
      <c r="I269" s="650"/>
      <c r="J269" s="1"/>
      <c r="K269" s="1"/>
      <c r="Q269" s="138"/>
      <c r="S269" s="40"/>
      <c r="U269" s="4"/>
      <c r="X269" s="201"/>
      <c r="Y269" s="48"/>
    </row>
    <row r="270" spans="6:41">
      <c r="G270" s="40"/>
      <c r="I270" s="650"/>
      <c r="J270" s="1"/>
      <c r="K270" s="1"/>
      <c r="L270" s="9"/>
      <c r="Q270" s="140"/>
      <c r="S270" s="40"/>
      <c r="U270" s="4"/>
      <c r="X270" s="155"/>
      <c r="Y270" s="87"/>
      <c r="Z270" s="136"/>
    </row>
    <row r="271" spans="6:41" ht="12" customHeight="1">
      <c r="G271" s="40"/>
      <c r="I271" s="651"/>
      <c r="J271" s="1"/>
      <c r="K271" s="1"/>
      <c r="L271" s="9"/>
      <c r="Q271" s="140"/>
      <c r="S271" s="40"/>
      <c r="U271" s="4"/>
      <c r="X271" s="48"/>
      <c r="Y271" s="204"/>
      <c r="Z271" s="205"/>
    </row>
    <row r="272" spans="6:41" ht="14.25" customHeight="1">
      <c r="G272" s="40"/>
      <c r="I272" s="652"/>
      <c r="J272" s="1"/>
      <c r="K272" s="1"/>
      <c r="Q272" s="142"/>
      <c r="S272" s="40"/>
      <c r="U272" s="4"/>
      <c r="V272" s="207"/>
      <c r="X272" s="20"/>
    </row>
    <row r="273" spans="6:32" ht="12" customHeight="1">
      <c r="G273" s="40"/>
      <c r="I273" s="650"/>
      <c r="J273" s="1"/>
      <c r="K273" s="1"/>
      <c r="L273" s="9"/>
      <c r="S273" s="40"/>
      <c r="U273" s="16"/>
    </row>
    <row r="274" spans="6:32" ht="14.25" customHeight="1">
      <c r="G274" s="40"/>
      <c r="I274" s="650"/>
      <c r="K274" s="116"/>
      <c r="S274" s="40"/>
      <c r="X274" s="202"/>
      <c r="AA274" s="657"/>
      <c r="AD274" s="203"/>
    </row>
    <row r="275" spans="6:32" ht="14.25" customHeight="1">
      <c r="G275" s="40"/>
      <c r="I275" s="650"/>
      <c r="J275" s="1482"/>
      <c r="K275" s="355"/>
      <c r="L275" s="1003"/>
      <c r="S275" s="40"/>
      <c r="U275" s="4"/>
      <c r="X275" s="155"/>
      <c r="Y275" s="87"/>
      <c r="Z275" s="136"/>
      <c r="AA275" s="155"/>
      <c r="AB275" s="87"/>
      <c r="AC275" s="136"/>
      <c r="AD275" s="155"/>
      <c r="AE275" s="87"/>
      <c r="AF275" s="136"/>
    </row>
    <row r="276" spans="6:32" ht="13.5" customHeight="1">
      <c r="G276" s="40"/>
      <c r="I276" s="650"/>
      <c r="J276" s="44"/>
      <c r="K276" s="44"/>
      <c r="L276" s="222"/>
      <c r="P276" s="8"/>
      <c r="Q276" s="124"/>
      <c r="S276" s="40"/>
      <c r="X276" s="46"/>
      <c r="Y276" s="214"/>
      <c r="Z276" s="124"/>
      <c r="AA276" s="183"/>
      <c r="AB276" s="183"/>
      <c r="AC276" s="124"/>
    </row>
    <row r="277" spans="6:32" ht="15.75">
      <c r="F277" s="118"/>
      <c r="G277" s="4"/>
      <c r="H277" s="8"/>
      <c r="I277" s="669"/>
      <c r="J277" s="1"/>
      <c r="K277" s="1"/>
      <c r="L277" s="1"/>
      <c r="P277" s="8"/>
      <c r="Q277" s="142"/>
      <c r="S277" s="40"/>
      <c r="X277" s="8"/>
      <c r="Y277" s="8"/>
      <c r="Z277" s="140"/>
      <c r="AD277" s="4"/>
      <c r="AE277" s="8"/>
      <c r="AF277" s="142"/>
    </row>
    <row r="278" spans="6:32">
      <c r="G278" s="169"/>
      <c r="I278" s="674"/>
      <c r="J278" s="1"/>
      <c r="K278" s="1"/>
      <c r="L278" s="1"/>
      <c r="P278" s="211"/>
      <c r="Q278" s="124"/>
      <c r="S278" s="40"/>
      <c r="U278" s="4"/>
      <c r="V278" s="8"/>
      <c r="X278" s="8"/>
      <c r="Y278" s="8"/>
      <c r="Z278" s="124"/>
      <c r="AA278" s="4"/>
      <c r="AB278" s="8"/>
      <c r="AC278" s="142"/>
    </row>
    <row r="279" spans="6:32" ht="14.25" customHeight="1">
      <c r="F279" s="63"/>
      <c r="G279" s="4"/>
      <c r="H279" s="116"/>
      <c r="I279" s="670"/>
      <c r="J279" s="1"/>
      <c r="K279" s="1"/>
      <c r="L279" s="1"/>
      <c r="P279" s="8"/>
      <c r="Q279" s="142"/>
      <c r="S279" s="40"/>
      <c r="X279" s="183"/>
      <c r="Y279" s="183"/>
      <c r="Z279" s="124"/>
      <c r="AA279" s="4"/>
      <c r="AB279" s="8"/>
      <c r="AC279" s="142"/>
      <c r="AD279" s="48"/>
      <c r="AE279" s="46"/>
      <c r="AF279" s="142"/>
    </row>
    <row r="280" spans="6:32">
      <c r="F280" s="30"/>
      <c r="G280" s="4"/>
      <c r="H280" s="8"/>
      <c r="I280" s="652"/>
      <c r="J280" s="1"/>
      <c r="K280" s="2567"/>
      <c r="L280" s="1"/>
      <c r="P280" s="8"/>
      <c r="Q280" s="141"/>
      <c r="S280" s="40"/>
      <c r="AD280" s="48"/>
      <c r="AE280" s="46"/>
      <c r="AF280" s="141"/>
    </row>
    <row r="281" spans="6:32" ht="13.5" customHeight="1">
      <c r="F281" s="32"/>
      <c r="G281" s="4"/>
      <c r="H281" s="8"/>
      <c r="I281" s="652"/>
      <c r="J281" s="1"/>
      <c r="K281" s="1"/>
      <c r="L281" s="1"/>
      <c r="P281" s="8"/>
      <c r="Q281" s="141"/>
      <c r="S281" s="40"/>
      <c r="AD281" s="48"/>
      <c r="AE281" s="46"/>
      <c r="AF281" s="141"/>
    </row>
    <row r="282" spans="6:32" ht="14.25" customHeight="1">
      <c r="F282" s="8"/>
      <c r="G282" s="4"/>
      <c r="H282" s="8"/>
      <c r="I282" s="652"/>
      <c r="J282" s="2552"/>
      <c r="K282" s="1"/>
      <c r="L282" s="1"/>
      <c r="Q282" s="141"/>
      <c r="S282" s="40"/>
      <c r="AD282" s="4"/>
      <c r="AE282" s="8"/>
      <c r="AF282" s="142"/>
    </row>
    <row r="283" spans="6:32" ht="15" customHeight="1">
      <c r="F283" s="32"/>
      <c r="G283" s="4"/>
      <c r="H283" s="46"/>
      <c r="I283" s="652"/>
      <c r="J283" s="1"/>
      <c r="K283" s="1"/>
      <c r="L283" s="1"/>
      <c r="Q283" s="141"/>
      <c r="S283" s="40"/>
      <c r="U283" s="48"/>
      <c r="V283" s="105"/>
    </row>
    <row r="284" spans="6:32" ht="14.25" customHeight="1">
      <c r="F284" s="32"/>
      <c r="G284" s="4"/>
      <c r="H284" s="8"/>
      <c r="I284" s="652"/>
      <c r="J284" s="32"/>
      <c r="K284" s="1"/>
      <c r="L284" s="1"/>
      <c r="Q284" s="142"/>
      <c r="S284" s="171"/>
    </row>
    <row r="285" spans="6:32" ht="15.75">
      <c r="F285" s="32"/>
      <c r="G285" s="4"/>
      <c r="H285" s="8"/>
      <c r="I285" s="649"/>
      <c r="J285" s="32"/>
      <c r="K285" s="1"/>
      <c r="L285" s="1"/>
      <c r="P285" s="46"/>
      <c r="S285" s="40"/>
      <c r="T285" s="353"/>
    </row>
    <row r="286" spans="6:32">
      <c r="G286" s="40"/>
      <c r="I286" s="649"/>
      <c r="J286" s="44"/>
      <c r="K286" s="44"/>
      <c r="L286" s="44"/>
      <c r="Q286" s="141"/>
      <c r="R286" s="2"/>
      <c r="S286" s="2"/>
      <c r="T286" s="81"/>
    </row>
    <row r="287" spans="6:32">
      <c r="G287" s="40"/>
      <c r="I287" s="652"/>
      <c r="K287" s="1"/>
      <c r="P287" s="46"/>
      <c r="R287" s="32"/>
      <c r="S287" s="4"/>
      <c r="T287" s="8"/>
    </row>
    <row r="288" spans="6:32">
      <c r="G288" s="40"/>
      <c r="I288" s="652"/>
      <c r="K288" s="1"/>
      <c r="P288" s="8"/>
      <c r="Q288" s="142"/>
      <c r="R288" s="32"/>
      <c r="S288" s="13"/>
      <c r="T288" s="8"/>
    </row>
    <row r="289" spans="6:17" ht="15.75">
      <c r="G289" s="40"/>
      <c r="I289" s="684"/>
      <c r="K289" s="1"/>
      <c r="Q289" s="142"/>
    </row>
    <row r="290" spans="6:17">
      <c r="G290" s="175"/>
      <c r="I290" s="670"/>
      <c r="K290" s="40"/>
      <c r="Q290" s="142"/>
    </row>
    <row r="291" spans="6:17">
      <c r="F291" s="32"/>
      <c r="G291" s="4"/>
      <c r="H291" s="46"/>
      <c r="I291" s="652"/>
      <c r="K291" s="2287"/>
      <c r="P291" s="8"/>
      <c r="Q291" s="137"/>
    </row>
    <row r="292" spans="6:17">
      <c r="F292" s="55"/>
      <c r="G292" s="4"/>
      <c r="H292" s="46"/>
      <c r="I292" s="652"/>
      <c r="K292" s="2288"/>
    </row>
    <row r="293" spans="6:17">
      <c r="F293" s="32"/>
      <c r="G293" s="4"/>
      <c r="H293" s="8"/>
      <c r="I293" s="652"/>
      <c r="J293" s="1481"/>
      <c r="K293" s="40"/>
      <c r="L293" s="1140"/>
      <c r="P293" s="81"/>
    </row>
    <row r="294" spans="6:17">
      <c r="F294" s="30"/>
      <c r="G294" s="4"/>
      <c r="H294" s="8"/>
      <c r="I294" s="652"/>
      <c r="J294" s="63"/>
      <c r="K294" s="169"/>
      <c r="L294" s="3"/>
      <c r="P294" s="8"/>
    </row>
    <row r="295" spans="6:17">
      <c r="G295" s="40"/>
      <c r="I295" s="652"/>
      <c r="J295" s="1"/>
      <c r="K295" s="1"/>
      <c r="L295" s="1"/>
      <c r="P295" s="8"/>
    </row>
    <row r="296" spans="6:17">
      <c r="G296" s="40"/>
      <c r="I296" s="652"/>
      <c r="J296" s="1"/>
      <c r="K296" s="1"/>
      <c r="L296" s="1"/>
      <c r="P296" s="40"/>
      <c r="Q296" s="136"/>
    </row>
    <row r="297" spans="6:17">
      <c r="G297" s="40"/>
      <c r="I297" s="685"/>
      <c r="J297" s="1"/>
      <c r="K297" s="1"/>
      <c r="L297" s="1"/>
      <c r="Q297" s="124"/>
    </row>
    <row r="298" spans="6:17">
      <c r="G298" s="40"/>
      <c r="I298" s="670"/>
      <c r="J298" s="1"/>
      <c r="K298" s="1"/>
      <c r="L298" s="1"/>
      <c r="P298" s="46"/>
      <c r="Q298" s="124"/>
    </row>
    <row r="299" spans="6:17">
      <c r="G299" s="40"/>
      <c r="I299" s="651"/>
      <c r="J299" s="1"/>
      <c r="K299" s="1"/>
      <c r="L299" s="1"/>
      <c r="Q299" s="124"/>
    </row>
    <row r="300" spans="6:17">
      <c r="G300" s="40"/>
      <c r="I300" s="650"/>
      <c r="J300" s="1"/>
      <c r="K300" s="1"/>
      <c r="L300" s="1"/>
      <c r="P300" s="8"/>
      <c r="Q300" s="124"/>
    </row>
    <row r="301" spans="6:17">
      <c r="G301" s="40"/>
      <c r="I301" s="650"/>
      <c r="J301" s="1"/>
      <c r="K301" s="1"/>
      <c r="L301" s="1"/>
      <c r="Q301" s="124"/>
    </row>
    <row r="302" spans="6:17">
      <c r="G302" s="40"/>
      <c r="I302" s="650"/>
      <c r="Q302" s="124"/>
    </row>
    <row r="303" spans="6:17">
      <c r="F303" s="32"/>
      <c r="G303" s="4"/>
      <c r="H303" s="8"/>
      <c r="I303" s="652"/>
      <c r="Q303" s="198"/>
    </row>
    <row r="304" spans="6:17">
      <c r="F304" s="32"/>
      <c r="G304" s="4"/>
      <c r="H304" s="8"/>
      <c r="I304" s="652"/>
      <c r="Q304" s="142"/>
    </row>
    <row r="305" spans="6:27">
      <c r="F305" s="45"/>
      <c r="G305" s="4"/>
      <c r="H305" s="211"/>
      <c r="I305" s="652"/>
      <c r="P305" s="8"/>
      <c r="Q305" s="142"/>
    </row>
    <row r="306" spans="6:27">
      <c r="F306" s="32"/>
      <c r="G306" s="4"/>
      <c r="H306" s="8"/>
      <c r="I306" s="652"/>
      <c r="P306" s="183"/>
    </row>
    <row r="307" spans="6:27">
      <c r="F307" s="45"/>
      <c r="G307" s="4"/>
      <c r="H307" s="8"/>
      <c r="I307" s="652"/>
      <c r="Q307" s="124"/>
    </row>
    <row r="308" spans="6:27">
      <c r="F308" s="45"/>
      <c r="G308" s="4"/>
      <c r="H308" s="8"/>
      <c r="I308" s="649"/>
      <c r="Q308" s="124"/>
    </row>
    <row r="309" spans="6:27">
      <c r="G309" s="40"/>
      <c r="I309" s="649"/>
      <c r="Q309" s="142"/>
      <c r="S309" s="40"/>
    </row>
    <row r="310" spans="6:27">
      <c r="G310" s="40"/>
      <c r="I310" s="651"/>
      <c r="Q310" s="124"/>
      <c r="S310" s="40"/>
    </row>
    <row r="311" spans="6:27">
      <c r="G311" s="169"/>
      <c r="I311" s="650"/>
      <c r="P311" s="8"/>
      <c r="Q311" s="142"/>
      <c r="R311" s="32"/>
      <c r="S311" s="4"/>
      <c r="T311" s="8"/>
    </row>
    <row r="312" spans="6:27">
      <c r="F312" s="55"/>
      <c r="G312" s="46"/>
      <c r="H312" s="46"/>
      <c r="I312" s="652"/>
      <c r="P312" s="8"/>
      <c r="Q312" s="141"/>
      <c r="R312" s="32"/>
      <c r="S312" s="13"/>
      <c r="T312" s="8"/>
    </row>
    <row r="313" spans="6:27">
      <c r="G313" s="46"/>
      <c r="I313" s="651"/>
      <c r="P313" s="8"/>
      <c r="Q313" s="141"/>
    </row>
    <row r="314" spans="6:27">
      <c r="F314" s="32"/>
      <c r="G314" s="4"/>
      <c r="H314" s="46"/>
      <c r="I314" s="652"/>
      <c r="Q314" s="141"/>
    </row>
    <row r="315" spans="6:27">
      <c r="F315" s="33"/>
      <c r="G315" s="4"/>
      <c r="H315" s="8"/>
      <c r="I315" s="651"/>
    </row>
    <row r="316" spans="6:27">
      <c r="G316" s="40"/>
      <c r="I316" s="651"/>
    </row>
    <row r="317" spans="6:27">
      <c r="G317" s="40"/>
      <c r="I317" s="650"/>
    </row>
    <row r="318" spans="6:27">
      <c r="F318" s="44"/>
      <c r="G318" s="4"/>
      <c r="H318" s="8"/>
      <c r="I318" s="652"/>
    </row>
    <row r="319" spans="6:27">
      <c r="I319" s="650"/>
    </row>
    <row r="320" spans="6:27" ht="15.75">
      <c r="F320" s="2"/>
      <c r="G320" s="2"/>
      <c r="H320" s="81"/>
      <c r="I320" s="650"/>
      <c r="AA320" s="20"/>
    </row>
    <row r="321" spans="6:27" ht="15.75">
      <c r="F321" s="32"/>
      <c r="G321" s="4"/>
      <c r="H321" s="8"/>
      <c r="I321" s="650"/>
      <c r="AA321" s="20"/>
    </row>
    <row r="322" spans="6:27" ht="15.75">
      <c r="F322" s="32"/>
      <c r="G322" s="13"/>
      <c r="H322" s="8"/>
      <c r="I322" s="650"/>
      <c r="AA322" s="20"/>
    </row>
    <row r="323" spans="6:27" ht="15.75">
      <c r="F323" s="117"/>
      <c r="H323" s="40"/>
      <c r="I323" s="650"/>
      <c r="AA323" s="20"/>
    </row>
    <row r="324" spans="6:27" ht="15.75">
      <c r="G324" s="169"/>
      <c r="I324" s="650"/>
      <c r="AA324" s="20"/>
    </row>
    <row r="325" spans="6:27">
      <c r="F325" s="63"/>
      <c r="G325" s="116"/>
      <c r="H325" s="46"/>
      <c r="I325" s="650"/>
      <c r="U325" s="140"/>
      <c r="AA325" s="4"/>
    </row>
    <row r="326" spans="6:27">
      <c r="G326" s="40"/>
      <c r="I326" s="650"/>
      <c r="U326" s="140"/>
      <c r="AA326" s="4"/>
    </row>
    <row r="327" spans="6:27">
      <c r="F327" s="32"/>
      <c r="G327" s="4"/>
      <c r="H327" s="8"/>
      <c r="I327" s="650"/>
      <c r="U327" s="198"/>
      <c r="AA327" s="4"/>
    </row>
    <row r="328" spans="6:27">
      <c r="G328" s="40"/>
      <c r="I328" s="650"/>
      <c r="U328" s="141"/>
      <c r="AA328" s="4"/>
    </row>
    <row r="329" spans="6:27">
      <c r="G329" s="40"/>
      <c r="I329" s="650"/>
      <c r="U329" s="142"/>
      <c r="AA329" s="4"/>
    </row>
    <row r="330" spans="6:27">
      <c r="G330" s="40"/>
      <c r="I330" s="650"/>
      <c r="AA330" s="4"/>
    </row>
    <row r="331" spans="6:27">
      <c r="G331" s="169"/>
      <c r="I331" s="650"/>
      <c r="AA331" s="4"/>
    </row>
    <row r="332" spans="6:27">
      <c r="F332" s="32"/>
      <c r="G332" s="4"/>
      <c r="H332" s="8"/>
      <c r="I332" s="650"/>
      <c r="AA332" s="4"/>
    </row>
    <row r="333" spans="6:27">
      <c r="F333" s="32"/>
      <c r="G333" s="4"/>
      <c r="H333" s="183"/>
      <c r="I333" s="650"/>
      <c r="AA333" s="4"/>
    </row>
    <row r="334" spans="6:27">
      <c r="G334" s="40"/>
      <c r="I334" s="650"/>
      <c r="AA334" s="4"/>
    </row>
    <row r="335" spans="6:27">
      <c r="G335" s="40"/>
      <c r="I335" s="650"/>
    </row>
    <row r="336" spans="6:27">
      <c r="G336" s="40"/>
      <c r="I336" s="650"/>
    </row>
    <row r="337" spans="6:9">
      <c r="G337" s="40"/>
      <c r="I337" s="650"/>
    </row>
    <row r="338" spans="6:9">
      <c r="F338" s="45"/>
      <c r="G338" s="4"/>
      <c r="H338" s="8"/>
      <c r="I338" s="671"/>
    </row>
    <row r="339" spans="6:9">
      <c r="F339" s="44"/>
      <c r="G339" s="4"/>
      <c r="H339" s="8"/>
      <c r="I339" s="671"/>
    </row>
    <row r="340" spans="6:9">
      <c r="F340" s="44"/>
      <c r="G340" s="4"/>
      <c r="H340" s="8"/>
      <c r="I340" s="671"/>
    </row>
    <row r="341" spans="6:9">
      <c r="G341" s="40"/>
      <c r="I341" s="671"/>
    </row>
    <row r="342" spans="6:9">
      <c r="G342" s="40"/>
      <c r="I342" s="650"/>
    </row>
    <row r="343" spans="6:9">
      <c r="F343" s="2"/>
      <c r="G343" s="40"/>
      <c r="I343" s="650"/>
    </row>
    <row r="344" spans="6:9">
      <c r="G344" s="40"/>
      <c r="I344" s="650"/>
    </row>
    <row r="345" spans="6:9">
      <c r="G345" s="40"/>
      <c r="I345" s="650"/>
    </row>
    <row r="346" spans="6:9">
      <c r="G346" s="40"/>
      <c r="I346" s="650"/>
    </row>
    <row r="347" spans="6:9">
      <c r="G347" s="40"/>
      <c r="I347" s="650"/>
    </row>
    <row r="348" spans="6:9">
      <c r="G348" s="40"/>
      <c r="I348" s="650"/>
    </row>
    <row r="349" spans="6:9">
      <c r="G349" s="40"/>
      <c r="I349" s="650"/>
    </row>
    <row r="350" spans="6:9">
      <c r="G350" s="40"/>
      <c r="I350" s="650"/>
    </row>
    <row r="351" spans="6:9">
      <c r="G351" s="40"/>
      <c r="I351" s="650"/>
    </row>
    <row r="352" spans="6:9">
      <c r="G352" s="40"/>
      <c r="I352" s="650"/>
    </row>
    <row r="353" spans="7:9">
      <c r="G353" s="40"/>
      <c r="I353" s="650"/>
    </row>
    <row r="354" spans="7:9">
      <c r="G354" s="40"/>
      <c r="I354" s="650"/>
    </row>
    <row r="355" spans="7:9">
      <c r="G355" s="40"/>
      <c r="I355" s="650"/>
    </row>
    <row r="356" spans="7:9">
      <c r="G356" s="40"/>
      <c r="I356" s="650"/>
    </row>
    <row r="357" spans="7:9">
      <c r="G357" s="40"/>
      <c r="I357" s="650"/>
    </row>
    <row r="358" spans="7:9">
      <c r="G358" s="40"/>
      <c r="I358" s="650"/>
    </row>
    <row r="359" spans="7:9">
      <c r="G359" s="40"/>
      <c r="I359" s="650"/>
    </row>
    <row r="360" spans="7:9">
      <c r="G360" s="40"/>
      <c r="I360" s="650"/>
    </row>
    <row r="361" spans="7:9">
      <c r="G361" s="40"/>
      <c r="I361" s="650"/>
    </row>
    <row r="362" spans="7:9">
      <c r="G362" s="40"/>
    </row>
    <row r="363" spans="7:9">
      <c r="G363" s="40"/>
    </row>
    <row r="364" spans="7:9">
      <c r="G364" s="40"/>
    </row>
    <row r="365" spans="7:9">
      <c r="G365" s="40"/>
    </row>
    <row r="366" spans="7:9">
      <c r="G366" s="40"/>
    </row>
    <row r="367" spans="7:9">
      <c r="G367" s="40"/>
    </row>
    <row r="368" spans="7:9">
      <c r="G368" s="40"/>
    </row>
    <row r="369" spans="7:20">
      <c r="G369" s="40"/>
    </row>
    <row r="370" spans="7:20">
      <c r="G370" s="40"/>
      <c r="S370" s="40"/>
    </row>
    <row r="371" spans="7:20">
      <c r="G371" s="40"/>
      <c r="S371" s="40"/>
    </row>
    <row r="372" spans="7:20">
      <c r="G372" s="40"/>
      <c r="S372" s="40"/>
    </row>
    <row r="373" spans="7:20">
      <c r="G373" s="40"/>
      <c r="S373" s="40"/>
    </row>
    <row r="374" spans="7:20">
      <c r="G374" s="40"/>
      <c r="R374" s="30"/>
      <c r="S374" s="4"/>
      <c r="T374" s="9"/>
    </row>
    <row r="375" spans="7:20">
      <c r="G375" s="40"/>
      <c r="S375" s="116"/>
    </row>
    <row r="376" spans="7:20">
      <c r="G376" s="40"/>
      <c r="S376" s="40"/>
    </row>
    <row r="377" spans="7:20">
      <c r="G377" s="40"/>
      <c r="S377" s="40"/>
    </row>
    <row r="378" spans="7:20">
      <c r="G378" s="40"/>
      <c r="S378" s="40"/>
    </row>
    <row r="379" spans="7:20">
      <c r="G379" s="40"/>
      <c r="J379" s="1"/>
      <c r="K379" s="1"/>
      <c r="L379" s="1"/>
      <c r="S379" s="40"/>
    </row>
    <row r="380" spans="7:20">
      <c r="G380" s="40"/>
      <c r="J380" s="1"/>
      <c r="K380" s="1"/>
      <c r="L380" s="1"/>
      <c r="S380" s="40"/>
    </row>
    <row r="381" spans="7:20">
      <c r="G381" s="40"/>
      <c r="J381" s="1"/>
      <c r="K381" s="1"/>
      <c r="L381" s="1"/>
      <c r="S381" s="40"/>
    </row>
    <row r="382" spans="7:20">
      <c r="G382" s="40"/>
      <c r="J382" s="1"/>
      <c r="K382" s="1"/>
      <c r="L382" s="1"/>
      <c r="S382" s="40"/>
    </row>
    <row r="383" spans="7:20">
      <c r="G383" s="40"/>
      <c r="J383" s="1"/>
      <c r="K383" s="1"/>
      <c r="L383" s="1"/>
      <c r="S383" s="40"/>
    </row>
    <row r="384" spans="7:20">
      <c r="G384" s="40"/>
      <c r="J384" s="1"/>
      <c r="K384" s="1"/>
      <c r="L384" s="1"/>
      <c r="S384" s="40"/>
    </row>
    <row r="385" spans="7:20">
      <c r="G385" s="40"/>
      <c r="J385" s="1"/>
      <c r="K385" s="1"/>
      <c r="L385" s="1"/>
      <c r="S385" s="40"/>
    </row>
    <row r="386" spans="7:20">
      <c r="G386" s="40"/>
      <c r="J386" s="1"/>
      <c r="K386" s="1"/>
      <c r="L386" s="1"/>
      <c r="S386" s="40"/>
    </row>
    <row r="387" spans="7:20">
      <c r="G387" s="40"/>
      <c r="J387" s="32"/>
      <c r="K387" s="2289"/>
      <c r="L387" s="66"/>
      <c r="S387" s="40"/>
    </row>
    <row r="388" spans="7:20">
      <c r="G388" s="40"/>
      <c r="J388" s="32"/>
      <c r="K388" s="4"/>
      <c r="L388" s="66"/>
      <c r="S388" s="40"/>
    </row>
    <row r="389" spans="7:20">
      <c r="G389" s="40"/>
      <c r="K389" s="116"/>
      <c r="S389" s="40"/>
    </row>
    <row r="390" spans="7:20">
      <c r="G390" s="40"/>
      <c r="J390" s="32"/>
      <c r="K390" s="4"/>
      <c r="L390" s="9"/>
      <c r="S390" s="40"/>
    </row>
    <row r="391" spans="7:20">
      <c r="G391" s="40"/>
      <c r="K391" s="40"/>
      <c r="S391" s="40"/>
    </row>
    <row r="392" spans="7:20">
      <c r="G392" s="40"/>
      <c r="K392" s="40"/>
      <c r="S392" s="40"/>
    </row>
    <row r="393" spans="7:20">
      <c r="G393" s="40"/>
      <c r="K393" s="40"/>
      <c r="S393" s="40"/>
    </row>
    <row r="394" spans="7:20">
      <c r="G394" s="40"/>
      <c r="K394" s="40"/>
      <c r="R394" s="1"/>
      <c r="S394" s="40"/>
    </row>
    <row r="395" spans="7:20">
      <c r="G395" s="40"/>
      <c r="J395" s="1481"/>
      <c r="K395" s="40"/>
      <c r="L395" s="1140"/>
      <c r="R395" s="32"/>
      <c r="S395" s="40"/>
    </row>
    <row r="396" spans="7:20">
      <c r="G396" s="40"/>
      <c r="J396" s="1"/>
      <c r="K396" s="1"/>
      <c r="L396" s="1"/>
      <c r="R396" s="32"/>
      <c r="S396" s="4"/>
    </row>
    <row r="397" spans="7:20">
      <c r="G397" s="40"/>
      <c r="J397" s="1"/>
      <c r="K397" s="1"/>
      <c r="L397" s="1"/>
      <c r="R397" s="21"/>
      <c r="S397" s="16"/>
    </row>
    <row r="398" spans="7:20">
      <c r="G398" s="40"/>
      <c r="J398" s="1"/>
      <c r="K398" s="1"/>
      <c r="L398" s="1"/>
      <c r="S398" s="169"/>
    </row>
    <row r="399" spans="7:20">
      <c r="G399" s="40"/>
      <c r="J399" s="1"/>
      <c r="K399" s="1"/>
      <c r="L399" s="1"/>
      <c r="R399" s="63"/>
      <c r="S399" s="116"/>
      <c r="T399" s="116"/>
    </row>
    <row r="400" spans="7:20">
      <c r="G400" s="40"/>
      <c r="J400" s="1"/>
      <c r="K400" s="1"/>
      <c r="L400" s="1"/>
      <c r="R400" s="32"/>
      <c r="S400" s="4"/>
      <c r="T400" s="8"/>
    </row>
    <row r="401" spans="6:20">
      <c r="G401" s="40"/>
      <c r="J401" s="1"/>
      <c r="K401" s="1"/>
      <c r="L401" s="1"/>
      <c r="R401" s="32"/>
      <c r="S401" s="4"/>
      <c r="T401" s="8"/>
    </row>
    <row r="402" spans="6:20">
      <c r="G402" s="40"/>
      <c r="J402" s="1"/>
      <c r="K402" s="1"/>
      <c r="L402" s="1"/>
      <c r="R402" s="44"/>
      <c r="S402" s="4"/>
      <c r="T402" s="8"/>
    </row>
    <row r="403" spans="6:20">
      <c r="G403" s="40"/>
      <c r="J403" s="1"/>
      <c r="K403" s="1"/>
      <c r="L403" s="1"/>
      <c r="R403" s="44"/>
      <c r="S403" s="4"/>
      <c r="T403" s="8"/>
    </row>
    <row r="404" spans="6:20">
      <c r="G404" s="40"/>
      <c r="J404" s="1"/>
      <c r="K404" s="1"/>
      <c r="L404" s="1"/>
      <c r="S404" s="40"/>
    </row>
    <row r="405" spans="6:20">
      <c r="G405" s="40"/>
      <c r="J405" s="1"/>
      <c r="K405" s="1"/>
      <c r="L405" s="1"/>
      <c r="S405" s="169"/>
    </row>
    <row r="406" spans="6:20">
      <c r="G406" s="40"/>
      <c r="J406" s="1"/>
      <c r="K406" s="1"/>
      <c r="L406" s="1"/>
      <c r="R406" s="32"/>
      <c r="S406" s="4"/>
      <c r="T406" s="66"/>
    </row>
    <row r="407" spans="6:20">
      <c r="G407" s="40"/>
      <c r="J407" s="1"/>
      <c r="K407" s="1"/>
      <c r="L407" s="1"/>
      <c r="R407" s="55"/>
      <c r="S407" s="46"/>
      <c r="T407" s="66"/>
    </row>
    <row r="408" spans="6:20">
      <c r="G408" s="40"/>
      <c r="J408" s="1"/>
      <c r="K408" s="1"/>
      <c r="L408" s="1"/>
      <c r="R408" s="30"/>
      <c r="S408" s="4"/>
      <c r="T408" s="9"/>
    </row>
    <row r="409" spans="6:20">
      <c r="G409" s="40"/>
      <c r="J409" s="1"/>
      <c r="K409" s="1"/>
      <c r="L409" s="1"/>
      <c r="S409" s="40"/>
    </row>
    <row r="410" spans="6:20">
      <c r="G410" s="40"/>
      <c r="J410" s="1"/>
      <c r="K410" s="1"/>
      <c r="L410" s="1"/>
      <c r="S410" s="40"/>
    </row>
    <row r="411" spans="6:20">
      <c r="G411" s="40"/>
      <c r="J411" s="1"/>
      <c r="K411" s="1"/>
      <c r="L411" s="1"/>
      <c r="S411" s="40"/>
    </row>
    <row r="412" spans="6:20">
      <c r="G412" s="40"/>
      <c r="J412" s="1"/>
      <c r="K412" s="1"/>
      <c r="L412" s="1"/>
      <c r="S412" s="7"/>
    </row>
    <row r="413" spans="6:20">
      <c r="G413" s="40"/>
      <c r="J413" s="1"/>
      <c r="K413" s="1"/>
      <c r="L413" s="1"/>
      <c r="S413" s="40"/>
    </row>
    <row r="414" spans="6:20">
      <c r="G414" s="40"/>
      <c r="J414" s="1"/>
      <c r="K414" s="1"/>
      <c r="L414" s="1"/>
      <c r="R414" s="2"/>
      <c r="S414" s="40"/>
    </row>
    <row r="415" spans="6:20">
      <c r="F415" s="8"/>
      <c r="G415" s="142"/>
      <c r="H415" s="48"/>
      <c r="I415" s="358"/>
      <c r="J415" s="1"/>
      <c r="K415" s="1"/>
      <c r="L415" s="1"/>
      <c r="R415" s="32"/>
      <c r="S415" s="40"/>
      <c r="T415" s="8"/>
    </row>
    <row r="416" spans="6:20">
      <c r="F416" s="8"/>
      <c r="G416" s="142"/>
      <c r="H416" s="4"/>
      <c r="I416" s="8"/>
      <c r="J416" s="1"/>
      <c r="K416" s="1"/>
      <c r="L416" s="1"/>
      <c r="R416" s="32"/>
      <c r="S416" s="4"/>
      <c r="T416" s="8"/>
    </row>
    <row r="417" spans="6:12">
      <c r="F417" s="8"/>
      <c r="G417" s="142"/>
      <c r="H417" s="48"/>
      <c r="I417" s="46"/>
      <c r="J417" s="1"/>
      <c r="K417" s="1"/>
      <c r="L417" s="1"/>
    </row>
    <row r="418" spans="6:12">
      <c r="F418" s="8"/>
      <c r="G418" s="142"/>
      <c r="H418" s="91"/>
      <c r="I418" s="110"/>
      <c r="J418" s="1"/>
      <c r="K418" s="1"/>
      <c r="L418" s="1"/>
    </row>
    <row r="419" spans="6:12">
      <c r="F419" s="110"/>
      <c r="G419" s="141"/>
      <c r="H419" s="16"/>
      <c r="J419" s="1"/>
      <c r="K419" s="1"/>
      <c r="L419" s="1"/>
    </row>
    <row r="420" spans="6:12">
      <c r="F420" s="110"/>
      <c r="G420" s="141"/>
      <c r="H420" s="155"/>
      <c r="I420" s="87"/>
      <c r="J420" s="1"/>
      <c r="K420" s="1"/>
      <c r="L420" s="1"/>
    </row>
    <row r="421" spans="6:12">
      <c r="F421" s="46"/>
      <c r="G421" s="124"/>
      <c r="H421" s="4"/>
      <c r="I421" s="46"/>
      <c r="J421" s="1"/>
      <c r="K421" s="1"/>
      <c r="L421" s="1"/>
    </row>
    <row r="422" spans="6:12">
      <c r="G422" s="154"/>
      <c r="J422" s="1"/>
      <c r="K422" s="1"/>
      <c r="L422" s="1"/>
    </row>
    <row r="423" spans="6:12">
      <c r="F423" s="8"/>
      <c r="G423" s="142"/>
      <c r="J423" s="1"/>
      <c r="K423" s="1"/>
      <c r="L423" s="1"/>
    </row>
    <row r="424" spans="6:12">
      <c r="F424" s="119"/>
      <c r="G424" s="124"/>
      <c r="J424" s="1"/>
      <c r="K424" s="1"/>
      <c r="L424" s="1"/>
    </row>
    <row r="425" spans="6:12">
      <c r="F425" s="8"/>
      <c r="G425" s="142"/>
      <c r="J425" s="1"/>
      <c r="K425" s="1"/>
      <c r="L425" s="1"/>
    </row>
    <row r="426" spans="6:12">
      <c r="F426" s="46"/>
      <c r="G426" s="124"/>
      <c r="J426" s="1"/>
      <c r="K426" s="1"/>
      <c r="L426" s="1"/>
    </row>
    <row r="427" spans="6:12">
      <c r="F427" s="46"/>
      <c r="G427" s="124"/>
      <c r="J427" s="1"/>
      <c r="K427" s="1"/>
      <c r="L427" s="1"/>
    </row>
    <row r="428" spans="6:12">
      <c r="J428" s="1"/>
      <c r="K428" s="1"/>
      <c r="L428" s="1"/>
    </row>
    <row r="429" spans="6:12">
      <c r="F429" s="116"/>
      <c r="G429" s="140"/>
      <c r="H429" s="4"/>
      <c r="I429" s="14"/>
      <c r="J429" s="1"/>
      <c r="K429" s="1"/>
      <c r="L429" s="1"/>
    </row>
    <row r="430" spans="6:12">
      <c r="F430" s="15"/>
      <c r="G430" s="15"/>
      <c r="H430" s="4"/>
      <c r="J430" s="1"/>
      <c r="K430" s="1"/>
      <c r="L430" s="1"/>
    </row>
    <row r="431" spans="6:12">
      <c r="F431" s="129"/>
      <c r="I431" s="82"/>
      <c r="J431" s="1"/>
      <c r="K431" s="1"/>
      <c r="L431" s="1"/>
    </row>
    <row r="432" spans="6:12">
      <c r="J432" s="1"/>
      <c r="K432" s="1"/>
      <c r="L432" s="1"/>
    </row>
    <row r="433" spans="8:12">
      <c r="H433" s="298"/>
      <c r="J433" s="1"/>
      <c r="K433" s="1"/>
      <c r="L433" s="1"/>
    </row>
    <row r="434" spans="8:12">
      <c r="H434" s="155"/>
      <c r="I434" s="87"/>
      <c r="J434" s="1"/>
      <c r="K434" s="1"/>
      <c r="L434" s="1"/>
    </row>
    <row r="435" spans="8:12">
      <c r="H435" s="4"/>
      <c r="I435" s="14"/>
      <c r="J435" s="1"/>
      <c r="K435" s="1"/>
      <c r="L435" s="1"/>
    </row>
    <row r="436" spans="8:12">
      <c r="H436" s="299"/>
      <c r="I436" s="116"/>
      <c r="J436" s="1"/>
      <c r="K436" s="1"/>
      <c r="L436" s="1"/>
    </row>
    <row r="437" spans="8:12">
      <c r="H437" s="4"/>
      <c r="I437" s="8"/>
      <c r="J437" s="1"/>
      <c r="K437" s="1"/>
      <c r="L437" s="1"/>
    </row>
    <row r="438" spans="8:12">
      <c r="H438" s="91"/>
      <c r="I438" s="115"/>
      <c r="J438" s="1"/>
      <c r="K438" s="1"/>
      <c r="L438" s="1"/>
    </row>
    <row r="439" spans="8:12">
      <c r="H439" s="4"/>
      <c r="I439" s="8"/>
      <c r="J439" s="1"/>
      <c r="K439" s="1"/>
      <c r="L439" s="1"/>
    </row>
    <row r="440" spans="8:12">
      <c r="H440" s="299"/>
      <c r="I440" s="116"/>
      <c r="J440" s="1"/>
      <c r="K440" s="1"/>
      <c r="L440" s="1"/>
    </row>
    <row r="441" spans="8:12">
      <c r="J441" s="1"/>
      <c r="K441" s="1"/>
      <c r="L441" s="1"/>
    </row>
    <row r="442" spans="8:12">
      <c r="J442" s="1"/>
      <c r="K442" s="1"/>
      <c r="L442" s="1"/>
    </row>
    <row r="443" spans="8:12">
      <c r="H443" s="343"/>
      <c r="J443" s="1"/>
      <c r="K443" s="1"/>
      <c r="L443" s="1"/>
    </row>
    <row r="444" spans="8:12">
      <c r="H444" s="155"/>
      <c r="I444" s="87"/>
      <c r="J444" s="1"/>
      <c r="K444" s="1"/>
      <c r="L444" s="1"/>
    </row>
    <row r="445" spans="8:12">
      <c r="H445" s="48"/>
      <c r="I445" s="8"/>
      <c r="J445" s="1"/>
      <c r="K445" s="1"/>
      <c r="L445" s="1"/>
    </row>
    <row r="446" spans="8:12">
      <c r="J446" s="1"/>
      <c r="K446" s="1"/>
      <c r="L446" s="1"/>
    </row>
    <row r="447" spans="8:12">
      <c r="J447" s="1"/>
      <c r="K447" s="1"/>
      <c r="L447" s="1"/>
    </row>
    <row r="448" spans="8:12">
      <c r="J448" s="1"/>
      <c r="K448" s="1"/>
      <c r="L448" s="1"/>
    </row>
    <row r="449" spans="6:12">
      <c r="F449" s="116"/>
      <c r="G449" s="140"/>
      <c r="H449" s="48"/>
      <c r="I449" s="46"/>
      <c r="J449" s="1"/>
      <c r="K449" s="1"/>
      <c r="L449" s="1"/>
    </row>
    <row r="450" spans="6:12">
      <c r="F450" s="116"/>
      <c r="G450" s="140"/>
      <c r="H450" s="48"/>
      <c r="I450" s="46"/>
      <c r="J450" s="1"/>
      <c r="K450" s="1"/>
      <c r="L450" s="1"/>
    </row>
    <row r="451" spans="6:12">
      <c r="F451" s="116"/>
      <c r="G451" s="140"/>
      <c r="H451" s="48"/>
      <c r="I451" s="46"/>
      <c r="J451" s="1"/>
      <c r="K451" s="1"/>
      <c r="L451" s="1"/>
    </row>
    <row r="452" spans="6:12">
      <c r="F452" s="116"/>
      <c r="G452" s="140"/>
      <c r="H452" s="143"/>
      <c r="J452" s="1"/>
      <c r="K452" s="1"/>
      <c r="L452" s="1"/>
    </row>
    <row r="453" spans="6:12">
      <c r="F453" s="15"/>
      <c r="J453" s="1"/>
      <c r="K453" s="1"/>
      <c r="L453" s="1"/>
    </row>
    <row r="454" spans="6:12" ht="15.75">
      <c r="F454" s="354"/>
      <c r="J454" s="1"/>
      <c r="K454" s="1"/>
      <c r="L454" s="1"/>
    </row>
    <row r="455" spans="6:12">
      <c r="J455" s="1"/>
      <c r="K455" s="1"/>
      <c r="L455" s="1"/>
    </row>
    <row r="456" spans="6:12">
      <c r="J456" s="1"/>
      <c r="K456" s="1"/>
      <c r="L456" s="1"/>
    </row>
    <row r="457" spans="6:12">
      <c r="J457" s="1"/>
      <c r="K457" s="1"/>
      <c r="L457" s="1"/>
    </row>
    <row r="458" spans="6:12">
      <c r="J458" s="105"/>
      <c r="K458" s="105"/>
      <c r="L458" s="105"/>
    </row>
    <row r="459" spans="6:12">
      <c r="J459" s="105"/>
      <c r="K459" s="105"/>
      <c r="L459" s="105"/>
    </row>
    <row r="460" spans="6:12">
      <c r="J460" s="105"/>
      <c r="K460" s="105"/>
      <c r="L460" s="105"/>
    </row>
    <row r="461" spans="6:12" ht="15.75">
      <c r="K461" s="658"/>
      <c r="L461" s="1"/>
    </row>
    <row r="462" spans="6:12">
      <c r="K462" s="1288"/>
      <c r="L462" s="746"/>
    </row>
    <row r="463" spans="6:12">
      <c r="K463" s="150"/>
      <c r="L463" s="614"/>
    </row>
    <row r="464" spans="6:12" ht="15.75">
      <c r="J464" s="2202"/>
      <c r="K464" s="438"/>
      <c r="L464" s="2196"/>
    </row>
    <row r="465" spans="10:12">
      <c r="K465" s="617"/>
      <c r="L465" s="614"/>
    </row>
    <row r="466" spans="10:12">
      <c r="J466" s="1"/>
      <c r="K466" s="1"/>
      <c r="L466" s="2200"/>
    </row>
    <row r="467" spans="10:12">
      <c r="J467" s="1"/>
      <c r="K467" s="1"/>
      <c r="L467" s="1"/>
    </row>
    <row r="468" spans="10:12">
      <c r="J468" s="2"/>
      <c r="K468" s="2195"/>
      <c r="L468" s="614"/>
    </row>
    <row r="469" spans="10:12">
      <c r="K469" s="749"/>
      <c r="L469" s="614"/>
    </row>
    <row r="470" spans="10:12" ht="15.75">
      <c r="K470" s="658"/>
      <c r="L470" s="1"/>
    </row>
    <row r="471" spans="10:12">
      <c r="K471" s="1288"/>
      <c r="L471" s="746"/>
    </row>
    <row r="472" spans="10:12">
      <c r="K472" s="150"/>
      <c r="L472" s="614"/>
    </row>
    <row r="473" spans="10:12" ht="15.75">
      <c r="J473" s="2202"/>
      <c r="K473" s="438"/>
      <c r="L473" s="2196"/>
    </row>
    <row r="474" spans="10:12">
      <c r="K474" s="617"/>
      <c r="L474" s="614"/>
    </row>
    <row r="475" spans="10:12">
      <c r="K475" s="2199"/>
      <c r="L475" s="2200"/>
    </row>
    <row r="476" spans="10:12">
      <c r="L476" s="1"/>
    </row>
    <row r="477" spans="10:12">
      <c r="J477" s="2"/>
      <c r="K477" s="2195"/>
      <c r="L477" s="614"/>
    </row>
    <row r="478" spans="10:12">
      <c r="K478" s="749"/>
      <c r="L478" s="614"/>
    </row>
    <row r="479" spans="10:12" ht="15.75">
      <c r="K479" s="658"/>
      <c r="L479" s="1"/>
    </row>
    <row r="480" spans="10:12">
      <c r="K480" s="1288"/>
      <c r="L480" s="746"/>
    </row>
    <row r="481" spans="10:12">
      <c r="K481" s="150"/>
      <c r="L481" s="614"/>
    </row>
    <row r="482" spans="10:12" ht="15.75">
      <c r="J482" s="2202"/>
      <c r="K482" s="438"/>
      <c r="L482" s="2196"/>
    </row>
    <row r="483" spans="10:12">
      <c r="K483" s="617"/>
      <c r="L483" s="614"/>
    </row>
    <row r="484" spans="10:12">
      <c r="K484" s="2199"/>
      <c r="L484" s="2200"/>
    </row>
    <row r="485" spans="10:12">
      <c r="L485" s="1"/>
    </row>
    <row r="486" spans="10:12">
      <c r="J486" s="2"/>
      <c r="K486" s="2195"/>
      <c r="L486" s="614"/>
    </row>
    <row r="487" spans="10:12">
      <c r="K487" s="749"/>
      <c r="L487" s="614"/>
    </row>
    <row r="488" spans="10:12" ht="15.75">
      <c r="K488" s="658"/>
      <c r="L488" s="1"/>
    </row>
    <row r="489" spans="10:12">
      <c r="K489" s="1288"/>
      <c r="L489" s="746"/>
    </row>
    <row r="490" spans="10:12">
      <c r="K490" s="150"/>
      <c r="L490" s="614"/>
    </row>
    <row r="491" spans="10:12" ht="15.75">
      <c r="J491" s="2202"/>
      <c r="K491" s="438"/>
      <c r="L491" s="2196"/>
    </row>
    <row r="492" spans="10:12">
      <c r="K492" s="617"/>
      <c r="L492" s="614"/>
    </row>
    <row r="493" spans="10:12">
      <c r="K493" s="2199"/>
      <c r="L493" s="2200"/>
    </row>
    <row r="494" spans="10:12">
      <c r="L494" s="1"/>
    </row>
    <row r="495" spans="10:12">
      <c r="J495" s="2"/>
      <c r="K495" s="2195"/>
      <c r="L495" s="614"/>
    </row>
    <row r="496" spans="10:12">
      <c r="K496" s="749"/>
      <c r="L496" s="614"/>
    </row>
    <row r="497" spans="10:12" ht="15.75">
      <c r="K497" s="658"/>
      <c r="L497" s="1"/>
    </row>
    <row r="498" spans="10:12">
      <c r="K498" s="1288"/>
      <c r="L498" s="746"/>
    </row>
    <row r="499" spans="10:12">
      <c r="K499" s="150"/>
      <c r="L499" s="614"/>
    </row>
    <row r="500" spans="10:12" ht="15.75">
      <c r="J500" s="2202"/>
      <c r="K500" s="438"/>
      <c r="L500" s="2196"/>
    </row>
    <row r="501" spans="10:12">
      <c r="K501" s="617"/>
      <c r="L501" s="614"/>
    </row>
    <row r="502" spans="10:12">
      <c r="K502" s="2199"/>
      <c r="L502" s="2200"/>
    </row>
    <row r="503" spans="10:12">
      <c r="L503" s="1"/>
    </row>
    <row r="504" spans="10:12">
      <c r="J504" s="2"/>
      <c r="K504" s="2195"/>
      <c r="L504" s="2205"/>
    </row>
    <row r="505" spans="10:12">
      <c r="J505" s="749"/>
      <c r="L505" s="614"/>
    </row>
    <row r="506" spans="10:12" ht="15.75">
      <c r="K506" s="658"/>
      <c r="L506" s="1"/>
    </row>
    <row r="507" spans="10:12">
      <c r="K507" s="1288"/>
      <c r="L507" s="746"/>
    </row>
    <row r="508" spans="10:12">
      <c r="K508" s="150"/>
      <c r="L508" s="614"/>
    </row>
    <row r="509" spans="10:12" ht="15.75">
      <c r="J509" s="2202"/>
      <c r="K509" s="438"/>
      <c r="L509" s="2196"/>
    </row>
    <row r="510" spans="10:12">
      <c r="K510" s="617"/>
      <c r="L510" s="614"/>
    </row>
    <row r="511" spans="10:12">
      <c r="K511" s="2199"/>
      <c r="L511" s="2200"/>
    </row>
    <row r="512" spans="10:12">
      <c r="J512" s="1"/>
      <c r="K512" s="1"/>
      <c r="L512" s="1"/>
    </row>
    <row r="513" spans="10:12">
      <c r="J513" s="1"/>
      <c r="K513" s="1"/>
      <c r="L513" s="1"/>
    </row>
    <row r="514" spans="10:12">
      <c r="J514" s="1"/>
      <c r="K514" s="1"/>
      <c r="L514" s="1"/>
    </row>
    <row r="515" spans="10:12">
      <c r="J515" s="1"/>
      <c r="K515" s="1"/>
      <c r="L515" s="1"/>
    </row>
    <row r="516" spans="10:12">
      <c r="J516" s="1"/>
      <c r="K516" s="1"/>
      <c r="L516" s="1"/>
    </row>
    <row r="517" spans="10:12">
      <c r="J517" s="1"/>
      <c r="K517" s="1"/>
      <c r="L517" s="1"/>
    </row>
    <row r="518" spans="10:12">
      <c r="J518" s="1"/>
      <c r="K518" s="1"/>
      <c r="L518" s="1"/>
    </row>
    <row r="519" spans="10:12">
      <c r="J519" s="1"/>
      <c r="K519" s="1"/>
      <c r="L519" s="1"/>
    </row>
    <row r="520" spans="10:12">
      <c r="J520" s="1"/>
      <c r="K520" s="1"/>
      <c r="L520" s="1"/>
    </row>
    <row r="521" spans="10:12">
      <c r="J521" s="1"/>
      <c r="K521" s="1"/>
      <c r="L521" s="1"/>
    </row>
    <row r="574" spans="10:12">
      <c r="J574" s="1"/>
      <c r="K574" s="1"/>
      <c r="L574" s="1"/>
    </row>
    <row r="575" spans="10:12">
      <c r="J575" s="1"/>
      <c r="K575" s="1"/>
      <c r="L575" s="1"/>
    </row>
    <row r="576" spans="10:12">
      <c r="J576" s="1"/>
      <c r="K576" s="1"/>
      <c r="L576" s="1"/>
    </row>
    <row r="577" spans="10:12">
      <c r="J577" s="1"/>
      <c r="K577" s="1"/>
      <c r="L577" s="1"/>
    </row>
    <row r="578" spans="10:12">
      <c r="J578" s="1"/>
      <c r="K578" s="1"/>
      <c r="L578" s="1"/>
    </row>
    <row r="579" spans="10:12">
      <c r="J579" s="1"/>
      <c r="K579" s="1"/>
      <c r="L579" s="1"/>
    </row>
    <row r="580" spans="10:12">
      <c r="J580" s="1"/>
      <c r="K580" s="1"/>
      <c r="L580" s="1"/>
    </row>
    <row r="581" spans="10:12">
      <c r="J581" s="1"/>
      <c r="K581" s="1"/>
      <c r="L581" s="1"/>
    </row>
    <row r="582" spans="10:12">
      <c r="J582" s="1"/>
      <c r="K582" s="1"/>
      <c r="L582" s="1"/>
    </row>
    <row r="583" spans="10:12">
      <c r="J583" s="1"/>
      <c r="K583" s="1"/>
      <c r="L583" s="1"/>
    </row>
    <row r="584" spans="10:12">
      <c r="J584" s="1"/>
      <c r="K584" s="1"/>
      <c r="L584" s="1"/>
    </row>
    <row r="585" spans="10:12">
      <c r="J585" s="1"/>
      <c r="K585" s="1"/>
      <c r="L585" s="1"/>
    </row>
    <row r="586" spans="10:12">
      <c r="J586" s="1"/>
      <c r="K586" s="1"/>
      <c r="L586" s="1"/>
    </row>
    <row r="587" spans="10:12">
      <c r="J587" s="1"/>
      <c r="K587" s="1"/>
      <c r="L587" s="1"/>
    </row>
    <row r="588" spans="10:12">
      <c r="J588" s="1"/>
      <c r="K588" s="1"/>
      <c r="L588" s="1"/>
    </row>
    <row r="589" spans="10:12">
      <c r="J589" s="1"/>
      <c r="K589" s="1"/>
      <c r="L589" s="1"/>
    </row>
    <row r="590" spans="10:12">
      <c r="J590" s="1"/>
      <c r="K590" s="1"/>
      <c r="L590" s="1"/>
    </row>
    <row r="591" spans="10:12">
      <c r="J591" s="1"/>
      <c r="K591" s="1"/>
      <c r="L591" s="1"/>
    </row>
    <row r="592" spans="10:12">
      <c r="J592" s="1"/>
      <c r="K592" s="1"/>
      <c r="L592" s="1"/>
    </row>
    <row r="708" spans="10:12">
      <c r="J708" s="1"/>
      <c r="K708" s="1"/>
      <c r="L708" s="1"/>
    </row>
    <row r="709" spans="10:12">
      <c r="J709" s="1"/>
      <c r="K709" s="1"/>
      <c r="L709" s="1"/>
    </row>
    <row r="710" spans="10:12">
      <c r="J710" s="1"/>
      <c r="K710" s="1"/>
      <c r="L710" s="1"/>
    </row>
    <row r="711" spans="10:12">
      <c r="J711" s="1"/>
      <c r="K711" s="1"/>
      <c r="L711" s="1"/>
    </row>
    <row r="712" spans="10:12">
      <c r="J712" s="1"/>
      <c r="K712" s="1"/>
      <c r="L712" s="1"/>
    </row>
    <row r="713" spans="10:12">
      <c r="J713" s="1"/>
      <c r="K713" s="1"/>
      <c r="L713" s="1"/>
    </row>
    <row r="714" spans="10:12">
      <c r="J714" s="1"/>
      <c r="K714" s="1"/>
      <c r="L714" s="1"/>
    </row>
    <row r="715" spans="10:12">
      <c r="J715" s="1"/>
      <c r="K715" s="1"/>
      <c r="L715" s="1"/>
    </row>
    <row r="716" spans="10:12">
      <c r="J716" s="1"/>
      <c r="K716" s="1"/>
      <c r="L716" s="1"/>
    </row>
    <row r="717" spans="10:12">
      <c r="J717" s="1"/>
      <c r="K717" s="1"/>
      <c r="L717" s="1"/>
    </row>
    <row r="718" spans="10:12">
      <c r="J718" s="1"/>
      <c r="K718" s="1"/>
      <c r="L718" s="1"/>
    </row>
    <row r="719" spans="10:12">
      <c r="J719" s="1"/>
      <c r="K719" s="1"/>
      <c r="L719" s="1"/>
    </row>
    <row r="720" spans="10:12">
      <c r="J720" s="1"/>
      <c r="K720" s="1"/>
      <c r="L720" s="1"/>
    </row>
    <row r="721" spans="10:12">
      <c r="J721" s="1"/>
      <c r="K721" s="1"/>
      <c r="L721" s="1"/>
    </row>
    <row r="722" spans="10:12">
      <c r="J722" s="1"/>
      <c r="K722" s="1"/>
      <c r="L722" s="1"/>
    </row>
    <row r="723" spans="10:12">
      <c r="J723" s="1"/>
      <c r="K723" s="1"/>
      <c r="L723" s="1"/>
    </row>
    <row r="724" spans="10:12">
      <c r="J724" s="1"/>
      <c r="K724" s="1"/>
      <c r="L724" s="1"/>
    </row>
    <row r="725" spans="10:12">
      <c r="J725" s="1"/>
      <c r="K725" s="1"/>
      <c r="L725" s="1"/>
    </row>
    <row r="726" spans="10:12">
      <c r="J726" s="1"/>
      <c r="K726" s="1"/>
      <c r="L726" s="1"/>
    </row>
    <row r="727" spans="10:12">
      <c r="J727" s="1"/>
      <c r="K727" s="1"/>
      <c r="L727" s="1"/>
    </row>
    <row r="728" spans="10:12">
      <c r="J728" s="1"/>
      <c r="K728" s="1"/>
      <c r="L728" s="1"/>
    </row>
    <row r="729" spans="10:12">
      <c r="J729" s="1"/>
      <c r="K729" s="1"/>
      <c r="L729" s="1"/>
    </row>
    <row r="730" spans="10:12">
      <c r="J730" s="1"/>
      <c r="K730" s="1"/>
      <c r="L730" s="1"/>
    </row>
    <row r="731" spans="10:12">
      <c r="J731" s="1"/>
      <c r="K731" s="1"/>
      <c r="L731" s="1"/>
    </row>
    <row r="732" spans="10:12">
      <c r="J732" s="1"/>
      <c r="K732" s="1"/>
      <c r="L732" s="1"/>
    </row>
    <row r="733" spans="10:12">
      <c r="J733" s="1"/>
      <c r="K733" s="1"/>
      <c r="L733" s="1"/>
    </row>
    <row r="734" spans="10:12">
      <c r="J734" s="1"/>
      <c r="K734" s="1"/>
      <c r="L734" s="1"/>
    </row>
    <row r="735" spans="10:12">
      <c r="J735" s="1"/>
      <c r="K735" s="1"/>
      <c r="L735" s="1"/>
    </row>
    <row r="736" spans="10:12">
      <c r="J736" s="1"/>
      <c r="K736" s="1"/>
      <c r="L736" s="1"/>
    </row>
    <row r="737" spans="10:12">
      <c r="J737" s="1"/>
      <c r="K737" s="1"/>
      <c r="L737" s="1"/>
    </row>
    <row r="738" spans="10:12">
      <c r="J738" s="1"/>
      <c r="K738" s="1"/>
      <c r="L738" s="1"/>
    </row>
    <row r="739" spans="10:12">
      <c r="J739" s="1"/>
      <c r="K739" s="1"/>
      <c r="L739" s="1"/>
    </row>
    <row r="740" spans="10:12">
      <c r="J740" s="1"/>
      <c r="K740" s="1"/>
      <c r="L740" s="1"/>
    </row>
    <row r="741" spans="10:12">
      <c r="J741" s="1"/>
      <c r="K741" s="1"/>
      <c r="L741" s="1"/>
    </row>
    <row r="876" spans="10:12">
      <c r="J876" s="1"/>
      <c r="K876" s="1"/>
      <c r="L876" s="1"/>
    </row>
    <row r="877" spans="10:12">
      <c r="J877" s="1"/>
      <c r="K877" s="1"/>
      <c r="L877" s="1"/>
    </row>
    <row r="878" spans="10:12">
      <c r="J878" s="1"/>
      <c r="K878" s="1"/>
      <c r="L878" s="1"/>
    </row>
    <row r="879" spans="10:12">
      <c r="J879" s="1"/>
      <c r="K879" s="1"/>
      <c r="L879" s="1"/>
    </row>
    <row r="880" spans="10:12">
      <c r="J880" s="1"/>
      <c r="K880" s="1"/>
      <c r="L880" s="1"/>
    </row>
    <row r="881" spans="10:12">
      <c r="J881" s="1"/>
      <c r="K881" s="1"/>
      <c r="L881" s="1"/>
    </row>
    <row r="882" spans="10:12">
      <c r="J882" s="1"/>
      <c r="K882" s="1"/>
      <c r="L882" s="1"/>
    </row>
    <row r="883" spans="10:12">
      <c r="J883" s="1"/>
      <c r="K883" s="1"/>
      <c r="L883" s="1"/>
    </row>
    <row r="884" spans="10:12">
      <c r="J884" s="1"/>
      <c r="K884" s="1"/>
      <c r="L884" s="1"/>
    </row>
    <row r="885" spans="10:12">
      <c r="J885" s="1"/>
      <c r="K885" s="1"/>
      <c r="L885" s="1"/>
    </row>
    <row r="886" spans="10:12">
      <c r="J886" s="1"/>
      <c r="K886" s="1"/>
      <c r="L886" s="1"/>
    </row>
    <row r="887" spans="10:12">
      <c r="J887" s="1"/>
      <c r="K887" s="1"/>
      <c r="L887" s="1"/>
    </row>
    <row r="888" spans="10:12">
      <c r="J888" s="1"/>
      <c r="K888" s="1"/>
      <c r="L888" s="1"/>
    </row>
    <row r="889" spans="10:12">
      <c r="J889" s="1"/>
      <c r="K889" s="1"/>
      <c r="L889" s="1"/>
    </row>
    <row r="890" spans="10:12">
      <c r="J890" s="1"/>
      <c r="K890" s="1"/>
      <c r="L890" s="1"/>
    </row>
    <row r="891" spans="10:12">
      <c r="J891" s="1"/>
      <c r="K891" s="1"/>
      <c r="L891" s="1"/>
    </row>
    <row r="892" spans="10:12">
      <c r="J892" s="1"/>
      <c r="K892" s="1"/>
      <c r="L892" s="1"/>
    </row>
    <row r="893" spans="10:12">
      <c r="J893" s="1"/>
      <c r="K893" s="1"/>
      <c r="L893" s="1"/>
    </row>
    <row r="894" spans="10:12">
      <c r="J894" s="1"/>
      <c r="K894" s="1"/>
      <c r="L894" s="1"/>
    </row>
    <row r="895" spans="10:12">
      <c r="J895" s="1"/>
      <c r="K895" s="1"/>
      <c r="L895" s="1"/>
    </row>
    <row r="896" spans="10:12">
      <c r="J896" s="1"/>
      <c r="K896" s="1"/>
      <c r="L896" s="1"/>
    </row>
    <row r="897" spans="10:12">
      <c r="J897" s="1"/>
      <c r="K897" s="1"/>
      <c r="L897" s="1"/>
    </row>
    <row r="898" spans="10:12">
      <c r="J898" s="1"/>
      <c r="K898" s="1"/>
      <c r="L898" s="1"/>
    </row>
    <row r="899" spans="10:12">
      <c r="J899" s="1"/>
      <c r="K899" s="1"/>
      <c r="L899" s="1"/>
    </row>
    <row r="900" spans="10:12">
      <c r="J900" s="1"/>
      <c r="K900" s="1"/>
      <c r="L900" s="1"/>
    </row>
    <row r="901" spans="10:12">
      <c r="J901" s="1"/>
      <c r="K901" s="1"/>
      <c r="L901" s="1"/>
    </row>
    <row r="902" spans="10:12">
      <c r="J902" s="1"/>
      <c r="K902" s="1"/>
      <c r="L902" s="1"/>
    </row>
    <row r="903" spans="10:12">
      <c r="J903" s="1"/>
      <c r="K903" s="1"/>
      <c r="L903" s="1"/>
    </row>
    <row r="904" spans="10:12">
      <c r="J904" s="1"/>
      <c r="K904" s="1"/>
      <c r="L904" s="1"/>
    </row>
    <row r="905" spans="10:12">
      <c r="J905" s="1"/>
      <c r="K905" s="1"/>
      <c r="L905" s="1"/>
    </row>
    <row r="906" spans="10:12">
      <c r="J906" s="1"/>
      <c r="K906" s="1"/>
      <c r="L906" s="1"/>
    </row>
    <row r="907" spans="10:12">
      <c r="J907" s="1"/>
      <c r="K907" s="1"/>
      <c r="L907" s="1"/>
    </row>
    <row r="908" spans="10:12">
      <c r="J908" s="1"/>
      <c r="K908" s="1"/>
      <c r="L908" s="1"/>
    </row>
    <row r="909" spans="10:12">
      <c r="J909" s="1"/>
      <c r="K909" s="1"/>
      <c r="L909" s="1"/>
    </row>
    <row r="910" spans="10:12">
      <c r="J910" s="1"/>
      <c r="K910" s="1"/>
      <c r="L910" s="1"/>
    </row>
    <row r="911" spans="10:12">
      <c r="J911" s="1"/>
      <c r="K911" s="1"/>
      <c r="L911" s="1"/>
    </row>
    <row r="912" spans="10:12">
      <c r="J912" s="1"/>
      <c r="K912" s="1"/>
      <c r="L912" s="1"/>
    </row>
    <row r="913" spans="10:12">
      <c r="J913" s="1"/>
      <c r="K913" s="1"/>
      <c r="L913" s="1"/>
    </row>
    <row r="914" spans="10:12">
      <c r="J914" s="1"/>
      <c r="K914" s="1"/>
      <c r="L914" s="1"/>
    </row>
    <row r="915" spans="10:12">
      <c r="J915" s="1"/>
      <c r="K915" s="1"/>
      <c r="L915" s="1"/>
    </row>
    <row r="916" spans="10:12">
      <c r="J916" s="1"/>
      <c r="K916" s="1"/>
      <c r="L916" s="1"/>
    </row>
    <row r="917" spans="10:12">
      <c r="J917" s="1"/>
      <c r="K917" s="1"/>
      <c r="L917" s="1"/>
    </row>
    <row r="918" spans="10:12">
      <c r="J918" s="1"/>
      <c r="K918" s="1"/>
      <c r="L918" s="1"/>
    </row>
    <row r="919" spans="10:12">
      <c r="J919" s="1"/>
      <c r="K919" s="1"/>
      <c r="L919" s="1"/>
    </row>
    <row r="920" spans="10:12">
      <c r="J920" s="1"/>
      <c r="K920" s="1"/>
      <c r="L920" s="1"/>
    </row>
    <row r="921" spans="10:12">
      <c r="J921" s="1"/>
      <c r="K921" s="1"/>
      <c r="L921" s="1"/>
    </row>
    <row r="922" spans="10:12">
      <c r="J922" s="1"/>
      <c r="K922" s="1"/>
      <c r="L922" s="1"/>
    </row>
    <row r="923" spans="10:12">
      <c r="J923" s="1"/>
      <c r="K923" s="1"/>
      <c r="L923" s="1"/>
    </row>
    <row r="924" spans="10:12">
      <c r="J924" s="1"/>
      <c r="K924" s="1"/>
      <c r="L924" s="1"/>
    </row>
    <row r="925" spans="10:12">
      <c r="J925" s="1"/>
      <c r="K925" s="1"/>
      <c r="L925" s="1"/>
    </row>
    <row r="926" spans="10:12">
      <c r="J926" s="1"/>
      <c r="K926" s="1"/>
      <c r="L926" s="1"/>
    </row>
    <row r="927" spans="10:12">
      <c r="J927" s="1"/>
      <c r="K927" s="1"/>
      <c r="L927" s="1"/>
    </row>
    <row r="928" spans="10:12">
      <c r="J928" s="1"/>
      <c r="K928" s="1"/>
      <c r="L928" s="1"/>
    </row>
    <row r="929" spans="10:12">
      <c r="J929" s="1"/>
      <c r="K929" s="1"/>
      <c r="L929" s="1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6E66D-07C5-423F-9B5E-0A1417D6C8B9}">
  <dimension ref="A1:BH1239"/>
  <sheetViews>
    <sheetView topLeftCell="A876" zoomScaleNormal="100" workbookViewId="0">
      <selection activeCell="A57" sqref="A57:J903"/>
    </sheetView>
  </sheetViews>
  <sheetFormatPr defaultRowHeight="15"/>
  <cols>
    <col min="1" max="1" width="1.5703125" customWidth="1"/>
    <col min="2" max="2" width="8.7109375" customWidth="1"/>
    <col min="3" max="3" width="32.85546875" customWidth="1"/>
    <col min="4" max="4" width="8.5703125" style="1" customWidth="1"/>
    <col min="5" max="5" width="6.140625" style="1" customWidth="1"/>
    <col min="6" max="6" width="7.140625" style="1" customWidth="1"/>
    <col min="7" max="7" width="9.140625" style="1" customWidth="1"/>
    <col min="8" max="8" width="9.5703125" style="1" customWidth="1"/>
    <col min="9" max="9" width="8.42578125" style="1" customWidth="1"/>
    <col min="10" max="10" width="8.140625" style="1" customWidth="1"/>
    <col min="11" max="11" width="4.5703125" style="1" customWidth="1"/>
    <col min="12" max="12" width="7.28515625" style="1" customWidth="1"/>
    <col min="13" max="13" width="19.7109375" style="1" customWidth="1"/>
    <col min="14" max="14" width="9" style="1" customWidth="1"/>
    <col min="15" max="15" width="16.140625" style="1" customWidth="1"/>
    <col min="16" max="16" width="9.85546875" style="1" customWidth="1"/>
    <col min="17" max="17" width="15" customWidth="1"/>
    <col min="18" max="18" width="12" customWidth="1"/>
    <col min="19" max="19" width="8.85546875" customWidth="1"/>
    <col min="20" max="20" width="12" customWidth="1"/>
    <col min="21" max="21" width="7.5703125" bestFit="1" customWidth="1"/>
    <col min="22" max="22" width="8" customWidth="1"/>
    <col min="24" max="24" width="6.42578125" bestFit="1" customWidth="1"/>
    <col min="25" max="25" width="8.42578125" bestFit="1" customWidth="1"/>
    <col min="26" max="26" width="14.7109375" customWidth="1"/>
    <col min="31" max="31" width="7.85546875" customWidth="1"/>
    <col min="32" max="32" width="4.85546875" customWidth="1"/>
    <col min="33" max="33" width="5.85546875" customWidth="1"/>
  </cols>
  <sheetData>
    <row r="1" spans="2:46" ht="7.5" customHeight="1">
      <c r="U1" s="2"/>
      <c r="V1" s="2"/>
      <c r="W1" s="2"/>
      <c r="X1" s="3"/>
      <c r="Y1" s="4"/>
      <c r="Z1" s="2"/>
      <c r="AA1" s="5"/>
      <c r="AB1" s="2"/>
      <c r="AC1" s="1"/>
      <c r="AD1" s="1"/>
      <c r="AE1" s="2"/>
      <c r="AF1" s="1"/>
      <c r="AG1" s="1"/>
      <c r="AH1" s="1"/>
      <c r="AI1" s="1"/>
      <c r="AJ1" s="2"/>
      <c r="AK1" s="2"/>
      <c r="AL1" s="2"/>
      <c r="AM1" s="3"/>
      <c r="AN1" s="6"/>
      <c r="AO1" s="2"/>
      <c r="AP1" s="2"/>
      <c r="AQ1" s="2"/>
      <c r="AR1" s="3"/>
      <c r="AS1" s="3"/>
      <c r="AT1" s="1"/>
    </row>
    <row r="2" spans="2:46">
      <c r="U2" s="2"/>
      <c r="V2" s="2"/>
      <c r="W2" s="2"/>
      <c r="X2" s="6"/>
      <c r="Y2" s="4"/>
      <c r="AA2" s="5"/>
      <c r="AB2" s="2"/>
      <c r="AD2" s="2"/>
      <c r="AE2" s="2"/>
      <c r="AF2" s="2"/>
      <c r="AG2" s="6"/>
      <c r="AH2" s="6"/>
      <c r="AI2" s="1"/>
      <c r="AJ2" s="2"/>
      <c r="AK2" s="2"/>
      <c r="AL2" s="2"/>
      <c r="AM2" s="6"/>
      <c r="AN2" s="6"/>
      <c r="AO2" s="2"/>
      <c r="AP2" s="2"/>
      <c r="AQ2" s="2"/>
      <c r="AR2" s="6"/>
      <c r="AS2" s="6"/>
      <c r="AT2" s="1"/>
    </row>
    <row r="3" spans="2:46" ht="12.75" customHeight="1">
      <c r="K3" s="2"/>
      <c r="L3"/>
      <c r="M3"/>
      <c r="N3"/>
      <c r="O3" s="2"/>
      <c r="P3" s="12"/>
      <c r="V3" s="1"/>
      <c r="W3" s="1"/>
      <c r="Z3" s="2"/>
      <c r="AA3" s="2"/>
      <c r="AB3" s="2"/>
      <c r="AD3" s="5"/>
      <c r="AE3" s="1"/>
      <c r="AG3" s="1"/>
      <c r="AH3" s="1"/>
      <c r="AI3" s="1"/>
      <c r="AJ3" s="2"/>
      <c r="AK3" s="2"/>
      <c r="AL3" s="2"/>
      <c r="AM3" s="6"/>
      <c r="AN3" s="2"/>
      <c r="AO3" s="5"/>
      <c r="AP3" s="1"/>
      <c r="AR3" s="1"/>
      <c r="AS3" s="1"/>
      <c r="AT3" s="1"/>
    </row>
    <row r="4" spans="2:46">
      <c r="L4"/>
      <c r="M4"/>
      <c r="N4"/>
      <c r="O4"/>
      <c r="P4" s="12"/>
      <c r="T4" s="1"/>
      <c r="U4" s="1"/>
      <c r="W4" s="1"/>
      <c r="Z4" s="6"/>
      <c r="AB4" s="2"/>
      <c r="AD4" s="5"/>
      <c r="AE4" s="1"/>
      <c r="AG4" s="1"/>
      <c r="AH4" s="1"/>
      <c r="AI4" s="1"/>
      <c r="AJ4" s="2"/>
      <c r="AL4" s="2"/>
      <c r="AM4" s="6"/>
      <c r="AN4" s="2"/>
      <c r="AO4" s="5"/>
      <c r="AP4" s="1"/>
      <c r="AR4" s="1"/>
      <c r="AS4" s="1"/>
      <c r="AT4" s="1"/>
    </row>
    <row r="5" spans="2:46">
      <c r="K5"/>
      <c r="M5"/>
      <c r="O5"/>
      <c r="P5"/>
      <c r="T5" s="105"/>
      <c r="W5" s="1"/>
      <c r="AA5" s="2"/>
      <c r="AC5" s="1"/>
      <c r="AD5" s="2"/>
      <c r="AE5" s="1"/>
      <c r="AF5" s="1"/>
      <c r="AG5" s="1"/>
      <c r="AH5" s="1"/>
      <c r="AI5" s="1"/>
      <c r="AK5" s="1"/>
      <c r="AN5" s="7"/>
      <c r="AO5" s="2"/>
      <c r="AP5" s="1"/>
      <c r="AQ5" s="1"/>
      <c r="AR5" s="1"/>
      <c r="AS5" s="1"/>
      <c r="AT5" s="1"/>
    </row>
    <row r="6" spans="2:46" ht="15.75">
      <c r="F6"/>
      <c r="G6" s="2" t="s">
        <v>196</v>
      </c>
      <c r="J6"/>
      <c r="K6"/>
      <c r="M6"/>
      <c r="O6"/>
      <c r="P6"/>
      <c r="T6" s="105"/>
      <c r="W6" s="1"/>
      <c r="Z6" s="9"/>
      <c r="AA6" s="4"/>
      <c r="AB6" s="8"/>
      <c r="AC6" s="1"/>
      <c r="AD6" s="1"/>
      <c r="AE6" s="1"/>
      <c r="AF6" s="1"/>
      <c r="AG6" s="1"/>
      <c r="AH6" s="1"/>
      <c r="AI6" s="1"/>
      <c r="AK6" s="10"/>
      <c r="AO6" s="4"/>
      <c r="AP6" s="8"/>
      <c r="AQ6" s="8"/>
      <c r="AR6" s="8"/>
      <c r="AS6" s="8"/>
      <c r="AT6" s="1"/>
    </row>
    <row r="7" spans="2:46">
      <c r="F7" s="1" t="s">
        <v>197</v>
      </c>
      <c r="G7"/>
      <c r="J7"/>
      <c r="K7"/>
      <c r="M7"/>
      <c r="O7"/>
      <c r="P7"/>
      <c r="T7" s="105"/>
      <c r="W7" s="1"/>
      <c r="X7" s="2188"/>
      <c r="Z7" s="9"/>
      <c r="AA7" s="4"/>
      <c r="AB7" s="8"/>
      <c r="AC7" s="1"/>
      <c r="AD7" s="2"/>
      <c r="AF7" s="2"/>
      <c r="AG7" s="1"/>
      <c r="AK7" s="12"/>
      <c r="AO7" s="2"/>
      <c r="AQ7" s="1"/>
      <c r="AR7" s="2"/>
      <c r="AS7" s="6"/>
      <c r="AT7" s="1"/>
    </row>
    <row r="8" spans="2:46">
      <c r="F8"/>
      <c r="G8"/>
      <c r="H8"/>
      <c r="I8"/>
      <c r="J8"/>
      <c r="K8" s="5"/>
      <c r="M8"/>
      <c r="O8"/>
      <c r="P8"/>
      <c r="T8" s="105"/>
      <c r="V8" s="2188"/>
      <c r="W8" s="1"/>
      <c r="Z8" s="9"/>
      <c r="AA8" s="4"/>
      <c r="AB8" s="8"/>
      <c r="AC8" s="2"/>
      <c r="AD8" s="2"/>
      <c r="AE8" s="3"/>
      <c r="AF8" s="6"/>
      <c r="AG8" s="13"/>
      <c r="AK8" s="12"/>
    </row>
    <row r="9" spans="2:46">
      <c r="F9"/>
      <c r="G9"/>
      <c r="I9" s="5"/>
      <c r="K9" s="2"/>
      <c r="L9" s="8"/>
      <c r="M9"/>
      <c r="N9" s="8"/>
      <c r="O9"/>
      <c r="P9"/>
      <c r="T9" s="1"/>
      <c r="U9" s="1"/>
      <c r="V9" s="1"/>
      <c r="W9" s="1"/>
      <c r="X9" s="1"/>
      <c r="Y9" s="1"/>
      <c r="Z9" s="8"/>
      <c r="AA9" s="8"/>
      <c r="AB9" s="8"/>
      <c r="AD9" s="2"/>
      <c r="AE9" s="2"/>
      <c r="AF9" s="2"/>
      <c r="AG9" s="6"/>
      <c r="AK9" s="2"/>
    </row>
    <row r="10" spans="2:46">
      <c r="F10"/>
      <c r="G10"/>
      <c r="H10"/>
      <c r="I10"/>
      <c r="J10"/>
      <c r="K10"/>
      <c r="L10"/>
      <c r="M10"/>
      <c r="O10"/>
      <c r="P10"/>
      <c r="T10" s="1"/>
      <c r="U10" s="1"/>
      <c r="W10" s="1"/>
      <c r="AA10" s="18"/>
      <c r="AC10" s="15"/>
      <c r="AD10" s="5"/>
      <c r="AE10" s="1"/>
      <c r="AG10" s="1"/>
      <c r="AK10" s="2"/>
    </row>
    <row r="11" spans="2:46">
      <c r="I11" s="2"/>
      <c r="J11" s="2"/>
      <c r="K11"/>
      <c r="L11"/>
      <c r="N11"/>
      <c r="O11" s="14"/>
      <c r="S11" s="63"/>
      <c r="T11" s="1"/>
      <c r="U11" s="1"/>
      <c r="V11" s="1"/>
      <c r="AA11" s="19"/>
      <c r="AB11" s="2"/>
      <c r="AC11" s="2"/>
      <c r="AD11" s="5"/>
      <c r="AE11" s="1"/>
      <c r="AG11" s="1"/>
      <c r="AK11" s="2"/>
    </row>
    <row r="12" spans="2:46">
      <c r="F12"/>
      <c r="G12"/>
      <c r="H12"/>
      <c r="I12" s="2"/>
      <c r="J12" s="2"/>
      <c r="K12" s="2"/>
      <c r="L12" s="2"/>
      <c r="M12"/>
      <c r="N12"/>
      <c r="O12"/>
      <c r="P12"/>
      <c r="S12" s="32"/>
      <c r="U12" s="1"/>
      <c r="V12" s="1"/>
      <c r="AB12" s="2"/>
      <c r="AC12" s="2"/>
      <c r="AD12" s="2"/>
      <c r="AE12" s="1"/>
      <c r="AF12" s="1"/>
      <c r="AG12" s="1"/>
    </row>
    <row r="13" spans="2:46">
      <c r="I13"/>
      <c r="J13"/>
      <c r="K13" s="2"/>
      <c r="L13" s="2"/>
      <c r="M13" s="8"/>
      <c r="N13" s="6"/>
      <c r="O13"/>
      <c r="P13"/>
      <c r="S13" s="32"/>
      <c r="T13" s="4"/>
      <c r="U13" s="8"/>
      <c r="Y13" s="2"/>
      <c r="AA13" s="14"/>
      <c r="AB13" s="2"/>
      <c r="AC13" s="2"/>
      <c r="AD13" s="8"/>
      <c r="AE13" s="8"/>
      <c r="AF13" s="8"/>
      <c r="AG13" s="8"/>
      <c r="AK13" s="14"/>
      <c r="AN13" s="21"/>
      <c r="AO13" s="19"/>
      <c r="AP13" s="22"/>
    </row>
    <row r="14" spans="2:46" ht="15.75">
      <c r="F14" s="11"/>
      <c r="G14" s="11"/>
      <c r="H14" s="11"/>
      <c r="I14" t="s">
        <v>246</v>
      </c>
      <c r="K14"/>
      <c r="L14"/>
      <c r="M14"/>
      <c r="N14" s="13"/>
      <c r="O14" s="14"/>
      <c r="P14" s="13"/>
      <c r="Q14" s="13"/>
      <c r="S14" s="32"/>
      <c r="T14" s="4"/>
      <c r="U14" s="8"/>
      <c r="Y14" s="2"/>
      <c r="AA14" s="14"/>
      <c r="AB14" s="2"/>
      <c r="AC14" s="1"/>
      <c r="AD14" s="2"/>
      <c r="AF14" s="1"/>
      <c r="AG14" s="2"/>
      <c r="AH14" s="39"/>
      <c r="AJ14" s="40"/>
      <c r="AK14" s="14"/>
      <c r="AM14" s="21"/>
      <c r="AN14" s="13"/>
      <c r="AO14" s="13"/>
      <c r="AP14" s="22"/>
    </row>
    <row r="15" spans="2:46" ht="18.75" customHeight="1">
      <c r="D15"/>
      <c r="E15"/>
      <c r="F15"/>
      <c r="G15" s="22"/>
      <c r="H15" s="22"/>
      <c r="I15" s="22"/>
      <c r="J15" s="22"/>
      <c r="K15"/>
      <c r="N15" s="22"/>
      <c r="O15" s="22"/>
      <c r="P15" s="22"/>
      <c r="Q15" s="22"/>
      <c r="R15" s="30"/>
      <c r="T15" s="169"/>
      <c r="AA15" s="14"/>
      <c r="AC15" s="1"/>
      <c r="AD15" s="1"/>
      <c r="AE15" s="1"/>
      <c r="AF15" s="1"/>
      <c r="AG15" s="1"/>
      <c r="AH15" s="32"/>
      <c r="AI15" s="4"/>
      <c r="AJ15" s="8"/>
      <c r="AK15" s="14"/>
      <c r="AM15" s="13"/>
      <c r="AN15" s="13"/>
      <c r="AO15" s="13"/>
      <c r="AP15" s="22"/>
    </row>
    <row r="16" spans="2:46" ht="16.5" customHeight="1">
      <c r="B16" s="4"/>
      <c r="C16" s="8"/>
      <c r="D16"/>
      <c r="E16"/>
      <c r="F16"/>
      <c r="G16"/>
      <c r="H16"/>
      <c r="I16"/>
      <c r="J16" s="14"/>
      <c r="K16"/>
      <c r="N16" s="624"/>
      <c r="O16" s="360"/>
      <c r="P16" s="361"/>
      <c r="Q16" s="360"/>
      <c r="R16" s="32"/>
      <c r="S16" s="21"/>
      <c r="T16" s="16"/>
      <c r="U16" s="17"/>
      <c r="V16" s="2"/>
      <c r="W16" s="3"/>
      <c r="X16" s="3"/>
      <c r="Y16" s="6"/>
      <c r="AA16" s="8"/>
      <c r="AC16" s="1"/>
      <c r="AD16" s="1"/>
      <c r="AE16" s="1"/>
      <c r="AF16" s="1"/>
      <c r="AG16" s="1"/>
      <c r="AH16" s="44"/>
      <c r="AI16" s="45"/>
      <c r="AJ16" s="8"/>
      <c r="AK16" s="8"/>
      <c r="AM16" s="13"/>
      <c r="AN16" s="13"/>
      <c r="AO16" s="13"/>
      <c r="AP16" s="22"/>
    </row>
    <row r="17" spans="2:60">
      <c r="B17" s="4"/>
      <c r="C17" s="8"/>
      <c r="D17" s="2"/>
      <c r="E17" s="22"/>
      <c r="F17" s="3"/>
      <c r="G17" s="3"/>
      <c r="H17" s="6"/>
      <c r="I17"/>
      <c r="J17" s="8"/>
      <c r="K17"/>
      <c r="L17" s="2"/>
      <c r="M17"/>
      <c r="N17" s="625"/>
      <c r="O17" s="6"/>
      <c r="P17" s="362"/>
      <c r="Q17" s="6"/>
      <c r="R17" s="32"/>
      <c r="T17" s="169"/>
      <c r="V17" s="2"/>
      <c r="W17" s="6"/>
      <c r="X17" s="6"/>
      <c r="Y17" s="6"/>
      <c r="AA17" s="8"/>
      <c r="AC17" s="2"/>
      <c r="AE17" s="2"/>
      <c r="AF17" s="6"/>
      <c r="AG17" s="6"/>
      <c r="AH17" s="45"/>
      <c r="AI17" s="45"/>
      <c r="AK17" s="8"/>
      <c r="AM17" s="13"/>
      <c r="AN17" s="4"/>
      <c r="AO17" s="4"/>
      <c r="AP17" s="22"/>
    </row>
    <row r="18" spans="2:60">
      <c r="B18" s="4"/>
      <c r="C18" s="32"/>
      <c r="D18" s="2"/>
      <c r="E18" s="2"/>
      <c r="F18" s="6"/>
      <c r="G18"/>
      <c r="H18" s="6"/>
      <c r="I18"/>
      <c r="J18" s="8"/>
      <c r="K18" s="14"/>
      <c r="L18" s="14"/>
      <c r="M18" s="64"/>
      <c r="N18" s="153"/>
      <c r="O18" s="153"/>
      <c r="P18" s="153"/>
      <c r="Q18" s="153"/>
      <c r="R18" s="32"/>
      <c r="S18" s="63"/>
      <c r="T18" s="4"/>
      <c r="U18" s="46"/>
      <c r="V18" s="2"/>
      <c r="W18" s="3"/>
      <c r="X18" s="6"/>
      <c r="Y18" s="2"/>
      <c r="AH18" s="45"/>
      <c r="AI18" s="4"/>
      <c r="AJ18" s="8"/>
      <c r="AK18" s="8"/>
      <c r="AM18" s="4"/>
      <c r="AN18" s="13"/>
      <c r="AO18" s="13"/>
      <c r="AP18" s="22"/>
      <c r="AR18" s="9"/>
      <c r="AS18" s="4"/>
      <c r="AT18" s="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2:60" ht="15.75" customHeight="1">
      <c r="B19" s="4"/>
      <c r="C19" s="5" t="s">
        <v>320</v>
      </c>
      <c r="F19" s="22"/>
      <c r="H19"/>
      <c r="I19" s="13"/>
      <c r="J19" s="13"/>
      <c r="K19" s="22"/>
      <c r="L19" s="22"/>
      <c r="M19" s="22"/>
      <c r="N19"/>
      <c r="O19"/>
      <c r="P19"/>
      <c r="R19" s="21"/>
      <c r="S19" s="32"/>
      <c r="T19" s="4"/>
      <c r="U19" s="32"/>
      <c r="V19" s="2"/>
      <c r="W19" s="6"/>
      <c r="X19" s="6"/>
      <c r="Y19" s="2"/>
      <c r="AH19" s="45"/>
      <c r="AI19" s="4"/>
      <c r="AJ19" s="8"/>
      <c r="AK19" s="8"/>
      <c r="AM19" s="13"/>
      <c r="AN19" s="13"/>
      <c r="AO19" s="13"/>
      <c r="AP19" s="22"/>
    </row>
    <row r="20" spans="2:60" ht="15.75" customHeight="1">
      <c r="B20" s="4"/>
      <c r="C20" s="8"/>
      <c r="D20"/>
      <c r="E20" s="32"/>
      <c r="F20"/>
      <c r="G20" s="22"/>
      <c r="H20" s="22"/>
      <c r="I20" s="22"/>
      <c r="J20" s="22"/>
      <c r="N20"/>
      <c r="O20" s="201"/>
      <c r="Q20" s="1"/>
      <c r="R20" s="32"/>
      <c r="S20" s="63"/>
      <c r="T20" s="116"/>
      <c r="U20" s="46"/>
      <c r="V20" s="16"/>
      <c r="W20" s="17"/>
      <c r="X20" s="8"/>
      <c r="AH20" s="45"/>
      <c r="AI20" s="4"/>
      <c r="AJ20" s="8"/>
      <c r="AK20" s="8"/>
      <c r="AM20" s="13"/>
      <c r="AN20" s="13"/>
      <c r="AO20" s="13"/>
      <c r="AP20" s="22"/>
      <c r="AR20" s="9"/>
      <c r="AS20" s="4"/>
      <c r="AT20" s="4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2:60" ht="20.25" customHeight="1">
      <c r="C21" s="7" t="s">
        <v>684</v>
      </c>
      <c r="D21" s="8"/>
      <c r="E21" s="2"/>
      <c r="F21" s="3"/>
      <c r="G21" s="3"/>
      <c r="H21" s="94"/>
      <c r="J21" s="9"/>
      <c r="K21" s="5"/>
      <c r="M21"/>
      <c r="N21" s="21"/>
      <c r="O21" s="16"/>
      <c r="P21" s="17"/>
      <c r="Q21" s="1"/>
      <c r="R21" s="32"/>
      <c r="S21" s="32"/>
      <c r="T21" s="4"/>
      <c r="U21" s="8"/>
      <c r="V21" s="2"/>
      <c r="W21" s="3"/>
      <c r="X21" s="3"/>
      <c r="Y21" s="6"/>
      <c r="AB21" s="2"/>
      <c r="AC21" s="2"/>
      <c r="AD21" s="2"/>
      <c r="AE21" s="3"/>
      <c r="AF21" s="3"/>
      <c r="AG21" s="1"/>
      <c r="AI21" s="40"/>
      <c r="AK21" s="8"/>
      <c r="AM21" s="13"/>
      <c r="AN21" s="343"/>
      <c r="AO21" s="13"/>
      <c r="AP21" s="22"/>
    </row>
    <row r="22" spans="2:60" ht="15.75" customHeight="1">
      <c r="B22" s="224"/>
      <c r="C22" s="4"/>
      <c r="E22"/>
      <c r="F22"/>
      <c r="G22" s="6"/>
      <c r="H22" s="6"/>
      <c r="I22"/>
      <c r="J22" s="9"/>
      <c r="K22"/>
      <c r="L22"/>
      <c r="M22"/>
      <c r="N22" s="63"/>
      <c r="O22" s="4"/>
      <c r="P22" s="46"/>
      <c r="Q22" s="1"/>
      <c r="S22" s="32"/>
      <c r="T22" s="4"/>
      <c r="U22" s="8"/>
      <c r="X22" s="6"/>
      <c r="Y22" s="6"/>
      <c r="AB22" s="2"/>
      <c r="AC22" s="2"/>
      <c r="AD22" s="2"/>
      <c r="AE22" s="6"/>
      <c r="AF22" s="6"/>
      <c r="AG22" s="1"/>
      <c r="AH22" s="39"/>
      <c r="AK22" s="8"/>
      <c r="AM22" s="343"/>
      <c r="AN22" s="13"/>
      <c r="AO22" s="13"/>
      <c r="AP22" s="22"/>
    </row>
    <row r="23" spans="2:60" ht="13.5" customHeight="1">
      <c r="B23" s="45"/>
      <c r="C23" s="523" t="s">
        <v>351</v>
      </c>
      <c r="K23"/>
      <c r="L23"/>
      <c r="N23" s="32"/>
      <c r="O23" s="4"/>
      <c r="P23" s="32"/>
      <c r="Q23" s="1"/>
      <c r="S23" s="32"/>
      <c r="T23" s="4"/>
      <c r="U23" s="8"/>
      <c r="X23" s="6"/>
      <c r="Y23" s="2"/>
      <c r="AB23" s="5"/>
      <c r="AC23" s="1"/>
      <c r="AE23" s="1"/>
      <c r="AF23" s="1"/>
      <c r="AG23" s="1"/>
      <c r="AH23" s="30"/>
      <c r="AI23" s="4"/>
      <c r="AJ23" s="8"/>
      <c r="AK23" s="14"/>
      <c r="AM23" s="13"/>
      <c r="AN23" s="13"/>
      <c r="AO23" s="13"/>
      <c r="AP23" s="22"/>
    </row>
    <row r="24" spans="2:60" ht="13.5" customHeight="1">
      <c r="B24" s="55"/>
      <c r="K24"/>
      <c r="L24"/>
      <c r="M24"/>
      <c r="N24"/>
      <c r="O24"/>
      <c r="P24"/>
      <c r="Q24" s="711"/>
      <c r="T24" s="169"/>
      <c r="AE24" s="1"/>
      <c r="AF24" s="1"/>
      <c r="AG24" s="1"/>
      <c r="AH24" s="32"/>
      <c r="AI24" s="4"/>
      <c r="AJ24" s="8"/>
      <c r="AK24" s="14"/>
      <c r="AM24" s="343"/>
      <c r="AN24" s="13"/>
      <c r="AO24" s="13"/>
      <c r="AP24" s="22"/>
    </row>
    <row r="25" spans="2:60" ht="12.75" customHeight="1">
      <c r="C25" s="19" t="s">
        <v>247</v>
      </c>
      <c r="E25"/>
      <c r="G25" s="6"/>
      <c r="H25" s="2"/>
      <c r="I25"/>
      <c r="J25" s="9"/>
      <c r="K25" s="44"/>
      <c r="L25" s="44"/>
      <c r="M25" s="44"/>
      <c r="O25" s="4"/>
      <c r="P25" s="8"/>
      <c r="Q25" s="8"/>
      <c r="S25" s="45"/>
      <c r="T25" s="4"/>
      <c r="U25" s="8"/>
      <c r="AD25" s="1"/>
      <c r="AE25" s="1"/>
      <c r="AF25" s="1"/>
      <c r="AG25" s="1"/>
      <c r="AH25" s="32"/>
      <c r="AI25" s="4"/>
      <c r="AJ25" s="8"/>
      <c r="AK25" s="8"/>
      <c r="AM25" s="13"/>
      <c r="AN25" s="13"/>
      <c r="AO25" s="13"/>
      <c r="AP25" s="2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2:60" ht="13.5" customHeight="1">
      <c r="B26" s="32"/>
      <c r="C26" s="46"/>
      <c r="D26" s="46"/>
      <c r="E26" s="9"/>
      <c r="F26" s="9"/>
      <c r="G26" s="9"/>
      <c r="H26" s="32"/>
      <c r="I26" s="4"/>
      <c r="J26" s="9"/>
      <c r="K26" s="44"/>
      <c r="L26" s="44"/>
      <c r="M26" s="222"/>
      <c r="N26" s="32"/>
      <c r="O26" s="4"/>
      <c r="P26" s="8"/>
      <c r="Q26" s="9"/>
      <c r="S26" s="55"/>
      <c r="T26" s="218"/>
      <c r="U26" s="46"/>
      <c r="AE26" s="1"/>
      <c r="AH26" s="32"/>
      <c r="AI26" s="4"/>
      <c r="AJ26" s="46"/>
      <c r="AK26" s="8"/>
      <c r="AM26" s="13"/>
      <c r="AN26" s="13"/>
      <c r="AO26" s="13"/>
      <c r="AP26" s="22"/>
    </row>
    <row r="27" spans="2:60" ht="15.75" customHeight="1">
      <c r="B27" s="33"/>
      <c r="C27" s="46"/>
      <c r="D27"/>
      <c r="E27"/>
      <c r="F27"/>
      <c r="G27"/>
      <c r="H27" s="33"/>
      <c r="I27" s="4"/>
      <c r="J27" s="9"/>
      <c r="K27" s="44"/>
      <c r="L27" s="44"/>
      <c r="M27" s="44"/>
      <c r="N27" s="32"/>
      <c r="O27" s="4"/>
      <c r="P27" s="8"/>
      <c r="Q27" s="8"/>
      <c r="R27" s="45"/>
      <c r="S27" s="33"/>
      <c r="T27" s="4"/>
      <c r="U27" s="8"/>
      <c r="Y27" s="32"/>
      <c r="Z27" s="8"/>
      <c r="AA27" s="9"/>
      <c r="AB27" s="44"/>
      <c r="AC27" s="44"/>
      <c r="AD27" s="44"/>
      <c r="AE27" s="111"/>
      <c r="AF27" s="44"/>
      <c r="AG27" s="44"/>
      <c r="AH27" s="44"/>
      <c r="AI27" s="44"/>
      <c r="AJ27" s="44"/>
      <c r="AK27" s="44"/>
      <c r="AL27" s="44"/>
      <c r="AM27" s="44"/>
      <c r="AN27" s="8"/>
      <c r="AO27" s="8"/>
      <c r="AP27" s="22"/>
      <c r="AQ27" s="14"/>
      <c r="AR27" s="14"/>
      <c r="AS27" s="9"/>
      <c r="AT27" s="4"/>
      <c r="AU27" s="4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36"/>
    </row>
    <row r="28" spans="2:60" ht="17.25" customHeight="1">
      <c r="C28" s="4"/>
      <c r="D28" s="94" t="s">
        <v>685</v>
      </c>
      <c r="F28"/>
      <c r="H28"/>
      <c r="I28" s="5" t="s">
        <v>316</v>
      </c>
      <c r="K28" s="44"/>
      <c r="L28" s="44"/>
      <c r="M28" s="44"/>
      <c r="N28" s="33"/>
      <c r="O28" s="4"/>
      <c r="P28" s="8"/>
      <c r="Q28" s="8"/>
      <c r="R28" s="45"/>
      <c r="S28" s="32"/>
      <c r="T28" s="4"/>
      <c r="U28" s="8"/>
      <c r="Y28" s="32"/>
      <c r="Z28" s="4"/>
      <c r="AA28" s="9"/>
      <c r="AB28" s="44"/>
      <c r="AC28" s="44"/>
      <c r="AD28" s="222"/>
      <c r="AE28" s="111"/>
      <c r="AF28" s="44"/>
      <c r="AG28" s="153"/>
      <c r="AH28" s="153"/>
      <c r="AI28" s="153"/>
      <c r="AJ28" s="153"/>
      <c r="AK28" s="153"/>
      <c r="AL28" s="153"/>
      <c r="AM28" s="153"/>
      <c r="AN28" s="8"/>
      <c r="AO28" s="8"/>
      <c r="AP28" s="22"/>
    </row>
    <row r="29" spans="2:60" ht="13.5" customHeight="1">
      <c r="C29" s="4"/>
      <c r="D29" s="8"/>
      <c r="E29"/>
      <c r="F29"/>
      <c r="G29"/>
      <c r="H29"/>
      <c r="I29"/>
      <c r="J29"/>
      <c r="K29" s="44"/>
      <c r="L29" s="152"/>
      <c r="M29" s="44"/>
      <c r="N29" s="39"/>
      <c r="O29"/>
      <c r="P29" s="40"/>
      <c r="Q29" s="8"/>
      <c r="R29" s="45"/>
      <c r="S29" s="32"/>
      <c r="T29" s="4"/>
      <c r="U29" s="8"/>
      <c r="Y29" s="32"/>
      <c r="Z29" s="4"/>
      <c r="AA29" s="9"/>
      <c r="AB29" s="44"/>
      <c r="AC29" s="44"/>
      <c r="AD29" s="44"/>
      <c r="AE29" s="111"/>
      <c r="AF29" s="44"/>
      <c r="AG29" s="44"/>
      <c r="AH29" s="44"/>
      <c r="AI29" s="222"/>
      <c r="AJ29" s="44"/>
      <c r="AK29" s="152"/>
      <c r="AL29" s="44"/>
      <c r="AM29" s="44"/>
      <c r="AN29" s="8"/>
      <c r="AO29" s="8"/>
      <c r="AP29" s="22"/>
    </row>
    <row r="30" spans="2:60" ht="15.75" customHeight="1">
      <c r="C30" s="40"/>
      <c r="D30"/>
      <c r="E30"/>
      <c r="F30"/>
      <c r="G30"/>
      <c r="H30"/>
      <c r="I30"/>
      <c r="J30" s="8"/>
      <c r="K30" s="41"/>
      <c r="L30" s="4"/>
      <c r="M30" s="8"/>
      <c r="N30" s="32"/>
      <c r="O30" s="4"/>
      <c r="P30" s="8"/>
      <c r="Q30" s="711"/>
      <c r="R30" s="45"/>
      <c r="T30" s="169"/>
      <c r="V30" s="9"/>
      <c r="W30" s="9"/>
      <c r="X30" s="9"/>
      <c r="Y30" s="32"/>
      <c r="Z30" s="4"/>
      <c r="AA30" s="9"/>
      <c r="AB30" s="44"/>
      <c r="AC30" s="44"/>
      <c r="AD30" s="44"/>
      <c r="AE30" s="111"/>
      <c r="AF30" s="730"/>
      <c r="AG30" s="44"/>
      <c r="AH30" s="44"/>
      <c r="AI30" s="222"/>
      <c r="AJ30" s="223"/>
      <c r="AK30" s="152"/>
      <c r="AL30" s="44"/>
      <c r="AM30" s="44"/>
      <c r="AN30" s="8"/>
      <c r="AO30" s="8"/>
      <c r="AP30" s="9"/>
    </row>
    <row r="31" spans="2:60" ht="15" customHeight="1">
      <c r="C31" s="354" t="s">
        <v>509</v>
      </c>
      <c r="D31"/>
      <c r="E31"/>
      <c r="F31" s="20"/>
      <c r="G31" s="363"/>
      <c r="H31"/>
      <c r="I31" s="20"/>
      <c r="J31" s="20"/>
      <c r="K31"/>
      <c r="L31" s="43"/>
      <c r="M31"/>
      <c r="N31" s="626"/>
      <c r="O31" s="4"/>
      <c r="P31" s="8"/>
      <c r="Q31" s="711"/>
      <c r="R31" s="32"/>
      <c r="S31" s="32"/>
      <c r="T31" s="4"/>
      <c r="U31" s="66"/>
      <c r="Y31" s="33"/>
      <c r="Z31" s="4"/>
      <c r="AA31" s="9"/>
      <c r="AB31" s="44"/>
      <c r="AC31" s="152"/>
      <c r="AD31" s="44"/>
      <c r="AE31" s="111"/>
      <c r="AF31" s="44"/>
      <c r="AG31" s="44"/>
      <c r="AH31" s="44"/>
      <c r="AI31" s="222"/>
      <c r="AJ31" s="223"/>
      <c r="AK31" s="44"/>
      <c r="AL31" s="223"/>
      <c r="AM31" s="44"/>
      <c r="AN31" s="8"/>
      <c r="AO31" s="8"/>
      <c r="AP31" s="731"/>
    </row>
    <row r="32" spans="2:60" ht="13.5" customHeight="1">
      <c r="C32" s="1"/>
      <c r="E32"/>
      <c r="G32"/>
      <c r="H32"/>
      <c r="I32"/>
      <c r="J32"/>
      <c r="K32"/>
      <c r="L32"/>
      <c r="M32"/>
      <c r="N32" s="626"/>
      <c r="O32" s="4"/>
      <c r="P32" s="8"/>
      <c r="Q32" s="8"/>
      <c r="R32" s="32"/>
      <c r="S32" s="55"/>
      <c r="T32" s="218"/>
      <c r="U32" s="66"/>
      <c r="AE32" s="8"/>
      <c r="AJ32" s="8"/>
      <c r="AK32" s="8"/>
      <c r="AL32" s="8"/>
      <c r="AM32" s="8"/>
      <c r="AN32" s="8"/>
      <c r="AO32" s="8"/>
      <c r="AP32" s="731"/>
    </row>
    <row r="33" spans="2:42" ht="14.25" customHeight="1">
      <c r="D33"/>
      <c r="E33"/>
      <c r="F33"/>
      <c r="G33"/>
      <c r="H33"/>
      <c r="I33"/>
      <c r="J33"/>
      <c r="K33" s="4"/>
      <c r="L33"/>
      <c r="M33"/>
      <c r="N33" s="45"/>
      <c r="O33" s="4"/>
      <c r="P33" s="8"/>
      <c r="Q33" s="8"/>
      <c r="S33" s="33"/>
      <c r="T33" s="4"/>
      <c r="U33" s="9"/>
      <c r="AE33" s="8"/>
      <c r="AJ33" s="8"/>
      <c r="AK33" s="8"/>
      <c r="AL33" s="8"/>
      <c r="AM33" s="8"/>
      <c r="AN33" s="8"/>
      <c r="AO33" s="8"/>
      <c r="AP33" s="22"/>
    </row>
    <row r="34" spans="2:42" ht="12.75" customHeight="1">
      <c r="B34" s="364"/>
      <c r="C34" s="365"/>
      <c r="D34" s="366"/>
      <c r="E34" s="367"/>
      <c r="F34" s="42"/>
      <c r="G34" s="42"/>
      <c r="H34" s="42"/>
      <c r="I34" s="42"/>
      <c r="J34" s="42"/>
      <c r="K34" s="42"/>
      <c r="L34" s="364"/>
      <c r="M34" s="364"/>
      <c r="N34" s="55"/>
      <c r="O34" s="4"/>
      <c r="P34" s="8"/>
      <c r="Q34" s="8"/>
      <c r="R34" s="39"/>
      <c r="T34" s="40"/>
      <c r="AA34" s="8"/>
      <c r="AB34" s="41"/>
      <c r="AC34" s="4"/>
      <c r="AD34" s="8"/>
      <c r="AE34" s="711"/>
      <c r="AJ34" s="8"/>
      <c r="AK34" s="8"/>
      <c r="AL34" s="8"/>
      <c r="AM34" s="8"/>
      <c r="AN34" s="344"/>
      <c r="AO34" s="8"/>
      <c r="AP34" s="22"/>
    </row>
    <row r="35" spans="2:42" ht="16.5" customHeight="1">
      <c r="B35" s="49"/>
      <c r="C35" s="49"/>
      <c r="D35" s="49"/>
      <c r="E35" s="368"/>
      <c r="F35" s="49"/>
      <c r="G35" s="49"/>
      <c r="H35" s="49"/>
      <c r="I35" s="49"/>
      <c r="J35" s="49"/>
      <c r="K35" s="49"/>
      <c r="L35" s="49"/>
      <c r="M35" s="49"/>
      <c r="N35" s="45"/>
      <c r="O35" s="4"/>
      <c r="P35" s="8"/>
      <c r="Q35" s="8"/>
      <c r="W35" s="20"/>
      <c r="X35" s="363"/>
      <c r="Z35" s="20"/>
      <c r="AA35" s="20"/>
      <c r="AC35" s="43"/>
      <c r="AF35" s="9"/>
      <c r="AM35" s="8"/>
      <c r="AN35" s="8"/>
      <c r="AO35" s="8"/>
      <c r="AP35" s="22"/>
    </row>
    <row r="36" spans="2:42" ht="15" customHeight="1">
      <c r="B36" s="44"/>
      <c r="C36" s="44"/>
      <c r="D36" s="152"/>
      <c r="E36" s="111"/>
      <c r="F36" s="44"/>
      <c r="G36" s="153"/>
      <c r="H36" s="153"/>
      <c r="I36" s="153"/>
      <c r="J36" s="153"/>
      <c r="K36" s="153"/>
      <c r="L36" s="153"/>
      <c r="M36" s="153"/>
      <c r="N36" s="45"/>
      <c r="O36" s="4"/>
      <c r="P36" s="8"/>
      <c r="Q36" s="8"/>
      <c r="AH36" s="39"/>
      <c r="AJ36" s="40"/>
      <c r="AM36" s="8"/>
      <c r="AN36" s="8"/>
      <c r="AO36" s="8"/>
      <c r="AP36" s="22"/>
    </row>
    <row r="37" spans="2:42" ht="16.5" customHeight="1">
      <c r="B37" s="369"/>
      <c r="C37" s="369"/>
      <c r="D37" s="369"/>
      <c r="E37" s="370"/>
      <c r="F37" s="369"/>
      <c r="G37" s="369"/>
      <c r="H37" s="371"/>
      <c r="I37" s="369"/>
      <c r="J37" s="371"/>
      <c r="K37" s="371"/>
      <c r="L37" s="369"/>
      <c r="M37" s="369"/>
      <c r="N37" s="39"/>
      <c r="O37"/>
      <c r="P37"/>
      <c r="Q37" s="8"/>
      <c r="V37" s="20"/>
      <c r="W37" s="20"/>
      <c r="Y37" s="20"/>
      <c r="Z37" s="20"/>
      <c r="AB37" s="4"/>
      <c r="AI37" s="169"/>
      <c r="AM37" s="8"/>
      <c r="AN37" s="8"/>
      <c r="AO37" s="8"/>
      <c r="AP37" s="22"/>
    </row>
    <row r="38" spans="2:42" ht="13.5" customHeight="1">
      <c r="D38"/>
      <c r="E38"/>
      <c r="F38"/>
      <c r="G38"/>
      <c r="H38"/>
      <c r="I38"/>
      <c r="J38"/>
      <c r="K38"/>
      <c r="L38"/>
      <c r="M38"/>
      <c r="N38" s="63"/>
      <c r="O38" s="4"/>
      <c r="P38" s="116"/>
      <c r="Q38" s="8"/>
      <c r="S38" s="364"/>
      <c r="T38" s="365"/>
      <c r="U38" s="366"/>
      <c r="V38" s="367"/>
      <c r="W38" s="42"/>
      <c r="X38" s="42"/>
      <c r="Y38" s="42"/>
      <c r="Z38" s="42"/>
      <c r="AA38" s="42"/>
      <c r="AB38" s="42"/>
      <c r="AC38" s="364"/>
      <c r="AD38" s="364"/>
      <c r="AE38" s="698"/>
      <c r="AH38" s="32"/>
      <c r="AI38" s="4"/>
      <c r="AJ38" s="8"/>
      <c r="AM38" s="708"/>
      <c r="AN38" s="708"/>
      <c r="AO38" s="708"/>
      <c r="AP38" s="22"/>
    </row>
    <row r="39" spans="2:42" ht="17.25" customHeight="1">
      <c r="D39"/>
      <c r="E39"/>
      <c r="F39"/>
      <c r="G39"/>
      <c r="H39"/>
      <c r="I39"/>
      <c r="J39"/>
      <c r="K39" s="43"/>
      <c r="L39"/>
      <c r="M39" s="43"/>
      <c r="N39" s="30"/>
      <c r="O39" s="4"/>
      <c r="P39" s="8"/>
      <c r="S39" s="49"/>
      <c r="T39" s="49"/>
      <c r="U39" s="49"/>
      <c r="V39" s="368"/>
      <c r="W39" s="49"/>
      <c r="X39" s="49"/>
      <c r="Y39" s="49"/>
      <c r="Z39" s="49"/>
      <c r="AA39" s="49"/>
      <c r="AB39" s="49"/>
      <c r="AC39" s="49"/>
      <c r="AD39" s="49"/>
      <c r="AE39" s="49"/>
      <c r="AF39" s="8"/>
      <c r="AH39" s="224"/>
      <c r="AI39" s="4"/>
      <c r="AJ39" s="8"/>
      <c r="AM39" s="13"/>
      <c r="AN39" s="13"/>
      <c r="AO39" s="13"/>
      <c r="AP39" s="22"/>
    </row>
    <row r="40" spans="2:42" ht="13.5" customHeight="1">
      <c r="D40"/>
      <c r="E40" s="146"/>
      <c r="F40"/>
      <c r="G40"/>
      <c r="H40"/>
      <c r="I40"/>
      <c r="J40"/>
      <c r="K40"/>
      <c r="L40"/>
      <c r="M40" s="43"/>
      <c r="N40" s="32"/>
      <c r="O40" s="4"/>
      <c r="P40" s="8"/>
      <c r="S40" s="44"/>
      <c r="T40" s="152"/>
      <c r="U40" s="44"/>
      <c r="V40" s="111"/>
      <c r="W40" s="44"/>
      <c r="X40" s="44"/>
      <c r="Y40" s="44"/>
      <c r="Z40" s="44"/>
      <c r="AA40" s="44"/>
      <c r="AB40" s="44"/>
      <c r="AC40" s="223"/>
      <c r="AD40" s="44"/>
      <c r="AE40" s="430"/>
      <c r="AH40" s="45"/>
      <c r="AI40" s="4"/>
      <c r="AJ40" s="116"/>
      <c r="AM40" s="343"/>
      <c r="AN40" s="4"/>
      <c r="AO40" s="4"/>
      <c r="AP40" s="9"/>
    </row>
    <row r="41" spans="2:42" ht="15" customHeight="1">
      <c r="B41" s="39"/>
      <c r="D41"/>
      <c r="E41"/>
      <c r="F41"/>
      <c r="G41"/>
      <c r="H41"/>
      <c r="I41"/>
      <c r="J41"/>
      <c r="K41"/>
      <c r="L41"/>
      <c r="M41"/>
      <c r="N41" s="32"/>
      <c r="O41" s="4"/>
      <c r="P41" s="8"/>
      <c r="S41" s="369"/>
      <c r="T41" s="369"/>
      <c r="U41" s="369"/>
      <c r="V41" s="370"/>
      <c r="W41" s="369"/>
      <c r="X41" s="369"/>
      <c r="Y41" s="371"/>
      <c r="Z41" s="369"/>
      <c r="AA41" s="371"/>
      <c r="AB41" s="371"/>
      <c r="AC41" s="369"/>
      <c r="AD41" s="369"/>
      <c r="AE41" s="369"/>
      <c r="AH41" s="32"/>
      <c r="AI41" s="4"/>
      <c r="AJ41" s="8"/>
      <c r="AM41" s="13"/>
      <c r="AN41" s="13"/>
      <c r="AO41" s="13"/>
      <c r="AP41" s="22"/>
    </row>
    <row r="42" spans="2:42" ht="12" customHeight="1">
      <c r="D42" s="116"/>
      <c r="E42"/>
      <c r="F42"/>
      <c r="G42"/>
      <c r="H42"/>
      <c r="I42"/>
      <c r="J42"/>
      <c r="K42"/>
      <c r="L42"/>
      <c r="M42"/>
      <c r="N42" s="32"/>
      <c r="O42" s="4"/>
      <c r="P42" s="46"/>
      <c r="AH42" s="45"/>
      <c r="AI42" s="4"/>
      <c r="AJ42" s="8"/>
      <c r="AM42" s="13"/>
      <c r="AN42" s="13"/>
      <c r="AO42" s="13"/>
      <c r="AP42" s="22"/>
    </row>
    <row r="43" spans="2:42" ht="12" customHeight="1">
      <c r="B43" s="30"/>
      <c r="C43" s="4"/>
      <c r="D43" s="8"/>
      <c r="E43"/>
      <c r="F43"/>
      <c r="G43" s="8"/>
      <c r="H43" s="8"/>
      <c r="I43" s="8"/>
      <c r="J43" s="8"/>
      <c r="K43" s="8"/>
      <c r="L43" s="8"/>
      <c r="M43" s="8"/>
      <c r="N43" s="32"/>
      <c r="O43" s="4"/>
      <c r="P43" s="8"/>
      <c r="AB43" s="43"/>
      <c r="AD43" s="43"/>
      <c r="AH43" s="45"/>
      <c r="AI43" s="4"/>
      <c r="AJ43" s="8"/>
      <c r="AM43" s="4"/>
      <c r="AN43" s="13"/>
      <c r="AO43" s="13"/>
      <c r="AP43" s="22"/>
    </row>
    <row r="44" spans="2:42" ht="15" customHeight="1">
      <c r="B44" s="32"/>
      <c r="C44" s="4"/>
      <c r="D44" s="8"/>
      <c r="E44"/>
      <c r="F44"/>
      <c r="G44" s="8"/>
      <c r="H44" s="8"/>
      <c r="I44" s="8"/>
      <c r="J44" s="8"/>
      <c r="K44"/>
      <c r="L44"/>
      <c r="M44"/>
      <c r="N44" s="33"/>
      <c r="O44" s="4"/>
      <c r="P44" s="8"/>
      <c r="V44" s="146"/>
      <c r="AD44" s="43"/>
      <c r="AI44" s="40"/>
      <c r="AM44" s="13"/>
      <c r="AN44" s="21"/>
      <c r="AO44" s="13"/>
      <c r="AP44" s="22"/>
    </row>
    <row r="45" spans="2:42" ht="16.5" customHeight="1">
      <c r="B45" s="32"/>
      <c r="K45" s="8"/>
      <c r="L45" s="8"/>
      <c r="M45"/>
      <c r="N45"/>
      <c r="O45"/>
      <c r="P45" s="40"/>
      <c r="R45" s="32"/>
      <c r="S45" s="39"/>
      <c r="AI45" s="40"/>
      <c r="AM45" s="13"/>
      <c r="AN45" s="13"/>
      <c r="AO45" s="13"/>
      <c r="AP45" s="22"/>
    </row>
    <row r="46" spans="2:42" ht="16.5" customHeight="1">
      <c r="R46" s="39"/>
      <c r="S46" s="32"/>
      <c r="T46" s="4"/>
      <c r="U46" s="8"/>
      <c r="AM46" s="13"/>
      <c r="AN46" s="13"/>
      <c r="AO46" s="13"/>
      <c r="AP46" s="22"/>
    </row>
    <row r="47" spans="2:42" ht="15.75" customHeight="1">
      <c r="R47" s="39"/>
      <c r="S47" s="32"/>
      <c r="T47" s="4"/>
      <c r="U47" s="8"/>
      <c r="X47" s="8"/>
      <c r="Y47" s="8"/>
      <c r="Z47" s="8"/>
      <c r="AA47" s="8"/>
      <c r="AB47" s="8"/>
      <c r="AC47" s="8"/>
      <c r="AD47" s="8"/>
      <c r="AE47" s="8"/>
      <c r="AH47" s="45"/>
      <c r="AI47" s="4"/>
      <c r="AJ47" s="8"/>
      <c r="AM47" s="13"/>
      <c r="AN47" s="4"/>
      <c r="AO47" s="4"/>
      <c r="AP47" s="8"/>
    </row>
    <row r="48" spans="2:42" ht="12.75" customHeight="1">
      <c r="R48" s="30"/>
      <c r="S48" s="45"/>
      <c r="T48" s="4"/>
      <c r="U48" s="211"/>
      <c r="X48" s="8"/>
      <c r="Y48" s="8"/>
      <c r="Z48" s="8"/>
      <c r="AA48" s="8"/>
      <c r="AH48" s="32"/>
      <c r="AI48" s="4"/>
      <c r="AJ48" s="8"/>
      <c r="AM48" s="13"/>
      <c r="AN48" s="4"/>
      <c r="AO48" s="4"/>
      <c r="AP48" s="46"/>
    </row>
    <row r="49" spans="1:56" ht="15" customHeight="1">
      <c r="R49" s="32"/>
      <c r="S49" s="32"/>
      <c r="T49" s="4"/>
      <c r="U49" s="8"/>
      <c r="X49" s="8"/>
      <c r="Y49" s="8"/>
      <c r="Z49" s="8"/>
      <c r="AA49" s="8"/>
      <c r="AB49" s="8"/>
      <c r="AC49" s="8"/>
      <c r="AD49" s="8"/>
      <c r="AE49" s="8"/>
      <c r="AI49" s="40"/>
      <c r="AN49" s="13"/>
      <c r="AO49" s="13"/>
      <c r="AP49" s="22"/>
    </row>
    <row r="50" spans="1:56" ht="16.5" customHeight="1">
      <c r="C50" s="1" t="s">
        <v>248</v>
      </c>
      <c r="D50"/>
      <c r="E50"/>
      <c r="F50"/>
      <c r="G50" t="s">
        <v>145</v>
      </c>
      <c r="H50"/>
      <c r="I50"/>
      <c r="R50" s="32"/>
      <c r="S50" s="45"/>
      <c r="T50" s="4"/>
      <c r="U50" s="8"/>
      <c r="Y50" s="8"/>
      <c r="Z50" s="8"/>
      <c r="AA50" s="8"/>
      <c r="AB50" s="8"/>
      <c r="AC50" s="8"/>
      <c r="AD50" s="8"/>
      <c r="AE50" s="8"/>
    </row>
    <row r="51" spans="1:56" ht="15" customHeight="1">
      <c r="R51" s="32"/>
      <c r="S51" s="45"/>
      <c r="T51" s="4"/>
      <c r="U51" s="8"/>
    </row>
    <row r="52" spans="1:56" ht="15.75" customHeight="1">
      <c r="E52" t="s">
        <v>249</v>
      </c>
      <c r="R52" s="32"/>
      <c r="T52" s="40"/>
    </row>
    <row r="53" spans="1:56" ht="14.25" customHeight="1">
      <c r="R53" s="117"/>
      <c r="T53" s="40"/>
    </row>
    <row r="54" spans="1:56" ht="15" customHeight="1">
      <c r="R54" s="32"/>
      <c r="T54" s="169"/>
      <c r="V54" s="44"/>
      <c r="W54" s="44"/>
      <c r="X54" s="44"/>
      <c r="Y54" s="111"/>
      <c r="Z54" s="44"/>
      <c r="AA54" s="44"/>
      <c r="AB54" s="44"/>
      <c r="AC54" s="44"/>
      <c r="AD54" s="44"/>
      <c r="AE54" s="44"/>
      <c r="AF54" s="44"/>
      <c r="AG54" s="44"/>
      <c r="AH54" s="153"/>
    </row>
    <row r="55" spans="1:56" ht="18" customHeight="1">
      <c r="S55" s="55"/>
      <c r="T55" s="46"/>
      <c r="U55" s="46"/>
    </row>
    <row r="56" spans="1:56" ht="15" customHeight="1">
      <c r="E56" s="153"/>
      <c r="F56" s="153"/>
      <c r="G56" s="153"/>
      <c r="R56" s="32"/>
      <c r="T56" s="46"/>
      <c r="V56" s="711"/>
      <c r="W56" s="8"/>
      <c r="X56" s="8"/>
      <c r="Y56" s="8"/>
      <c r="Z56" s="8"/>
      <c r="AA56" s="8"/>
      <c r="AB56" s="8"/>
      <c r="AC56" s="8"/>
      <c r="AD56" s="8"/>
      <c r="AE56" s="14"/>
    </row>
    <row r="57" spans="1:56" ht="12.75" customHeight="1">
      <c r="R57" s="32"/>
      <c r="S57" s="32"/>
      <c r="T57" s="4"/>
      <c r="U57" s="4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56" ht="12.75" customHeight="1">
      <c r="D58" s="5" t="s">
        <v>286</v>
      </c>
      <c r="K58"/>
      <c r="L58"/>
      <c r="M58"/>
      <c r="N58"/>
      <c r="O58"/>
      <c r="P58"/>
      <c r="S58" s="33"/>
      <c r="T58" s="4"/>
      <c r="U58" s="8"/>
    </row>
    <row r="59" spans="1:56" ht="15.75" customHeight="1">
      <c r="B59" s="19" t="s">
        <v>956</v>
      </c>
      <c r="D59"/>
      <c r="E59"/>
      <c r="I59"/>
      <c r="J59"/>
      <c r="T59" s="40"/>
    </row>
    <row r="60" spans="1:56" ht="14.25" customHeight="1">
      <c r="C60" s="19" t="s">
        <v>282</v>
      </c>
      <c r="E60"/>
      <c r="F60"/>
      <c r="G60" s="19"/>
      <c r="H60" s="19"/>
      <c r="I60" s="13"/>
      <c r="J60" s="13"/>
      <c r="K60" s="13"/>
      <c r="L60" s="13"/>
      <c r="M60"/>
      <c r="N60"/>
      <c r="O60"/>
      <c r="P60"/>
    </row>
    <row r="61" spans="1:56" ht="15" customHeight="1">
      <c r="B61" s="20" t="s">
        <v>510</v>
      </c>
      <c r="C61" s="13"/>
      <c r="D61"/>
      <c r="E61" s="20" t="s">
        <v>0</v>
      </c>
      <c r="F61"/>
      <c r="G61" s="2" t="s">
        <v>317</v>
      </c>
      <c r="H61" s="13"/>
      <c r="I61" s="13"/>
      <c r="J61" s="24"/>
      <c r="L61"/>
      <c r="M61" s="169"/>
      <c r="N61"/>
      <c r="AN61" s="2"/>
      <c r="AO61" s="2"/>
      <c r="AP61" s="49"/>
    </row>
    <row r="62" spans="1:56" ht="18" customHeight="1">
      <c r="A62" s="48"/>
      <c r="D62" s="23" t="s">
        <v>1</v>
      </c>
      <c r="W62" s="20"/>
      <c r="X62" s="363"/>
      <c r="Z62" s="20"/>
      <c r="AA62" s="20"/>
      <c r="AC62" s="43"/>
      <c r="AM62" s="21"/>
      <c r="AN62" s="13"/>
      <c r="AO62" s="22"/>
      <c r="AP62" s="22"/>
    </row>
    <row r="63" spans="1:56" ht="15.75" thickBot="1">
      <c r="R63" s="3"/>
      <c r="AE63" s="32"/>
      <c r="BA63" s="13"/>
      <c r="BB63" s="13"/>
      <c r="BC63" s="22"/>
      <c r="BD63" s="22"/>
    </row>
    <row r="64" spans="1:56" ht="15" customHeight="1" thickBot="1">
      <c r="B64" s="524" t="s">
        <v>250</v>
      </c>
      <c r="C64" s="99"/>
      <c r="D64" s="525" t="s">
        <v>251</v>
      </c>
      <c r="E64" s="397" t="s">
        <v>252</v>
      </c>
      <c r="F64" s="397"/>
      <c r="G64" s="397"/>
      <c r="H64" s="526" t="s">
        <v>253</v>
      </c>
      <c r="I64" s="527" t="s">
        <v>254</v>
      </c>
      <c r="J64" s="528" t="s">
        <v>255</v>
      </c>
      <c r="Q64" s="30"/>
      <c r="R64" s="22"/>
      <c r="S64" s="13"/>
      <c r="T64" s="13"/>
      <c r="U64" s="13"/>
      <c r="V64" s="14"/>
      <c r="W64" s="14"/>
      <c r="X64" s="64"/>
      <c r="Y64" s="13"/>
      <c r="Z64" s="13"/>
      <c r="AA64" s="14"/>
      <c r="AB64" s="13"/>
      <c r="AC64" s="13"/>
      <c r="AD64" s="13"/>
      <c r="AE64" s="13"/>
      <c r="AF64" s="32"/>
      <c r="AJ64" s="20"/>
      <c r="AK64" s="20"/>
      <c r="AM64" s="20"/>
      <c r="AN64" s="20"/>
      <c r="AP64" s="4"/>
      <c r="BA64" s="62"/>
      <c r="BB64" s="13"/>
      <c r="BC64" s="22"/>
    </row>
    <row r="65" spans="2:56" ht="14.25" customHeight="1">
      <c r="B65" s="529" t="s">
        <v>256</v>
      </c>
      <c r="C65" s="530" t="s">
        <v>257</v>
      </c>
      <c r="D65" s="531" t="s">
        <v>258</v>
      </c>
      <c r="E65" s="532" t="s">
        <v>259</v>
      </c>
      <c r="F65" s="532" t="s">
        <v>63</v>
      </c>
      <c r="G65" s="532" t="s">
        <v>64</v>
      </c>
      <c r="H65" s="533" t="s">
        <v>260</v>
      </c>
      <c r="I65" s="534" t="s">
        <v>261</v>
      </c>
      <c r="J65" s="535" t="s">
        <v>262</v>
      </c>
      <c r="Q65" s="3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0"/>
      <c r="AG65" s="364"/>
      <c r="AH65" s="365"/>
      <c r="AI65" s="366"/>
      <c r="AJ65" s="367"/>
      <c r="AK65" s="42"/>
      <c r="AL65" s="42"/>
      <c r="AM65" s="42"/>
      <c r="AN65" s="42"/>
      <c r="AO65" s="42"/>
      <c r="AP65" s="42"/>
      <c r="AQ65" s="364"/>
      <c r="AR65" s="364"/>
      <c r="AS65" s="698"/>
      <c r="AT65" s="9"/>
      <c r="BA65" s="13"/>
      <c r="BB65" s="13"/>
      <c r="BC65" s="22"/>
    </row>
    <row r="66" spans="2:56" ht="12.75" customHeight="1" thickBot="1">
      <c r="B66" s="536"/>
      <c r="C66" s="579"/>
      <c r="D66" s="537"/>
      <c r="E66" s="538" t="s">
        <v>6</v>
      </c>
      <c r="F66" s="538" t="s">
        <v>7</v>
      </c>
      <c r="G66" s="538" t="s">
        <v>8</v>
      </c>
      <c r="H66" s="539" t="s">
        <v>263</v>
      </c>
      <c r="I66" s="540" t="s">
        <v>264</v>
      </c>
      <c r="J66" s="541" t="s">
        <v>265</v>
      </c>
      <c r="L66" s="385"/>
      <c r="M66" s="4"/>
      <c r="N66" s="9"/>
      <c r="O66"/>
      <c r="Q66" s="69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G66" s="49"/>
      <c r="AH66" s="49"/>
      <c r="AI66" s="49"/>
      <c r="AJ66" s="368"/>
      <c r="AK66" s="49"/>
      <c r="AL66" s="49"/>
      <c r="AM66" s="49"/>
      <c r="AN66" s="49"/>
      <c r="AO66" s="49"/>
      <c r="AP66" s="49"/>
      <c r="AQ66" s="49"/>
      <c r="AR66" s="49"/>
      <c r="AS66" s="49"/>
      <c r="BA66" s="4"/>
      <c r="BB66" s="4"/>
      <c r="BC66" s="9"/>
    </row>
    <row r="67" spans="2:56" ht="15.75" customHeight="1">
      <c r="B67" s="99"/>
      <c r="C67" s="163" t="s">
        <v>199</v>
      </c>
      <c r="D67" s="543"/>
      <c r="E67" s="544"/>
      <c r="F67" s="545"/>
      <c r="G67" s="545"/>
      <c r="H67" s="546"/>
      <c r="I67" s="547"/>
      <c r="J67" s="548"/>
      <c r="P67" s="2"/>
      <c r="Q67" s="22"/>
      <c r="R67" s="9"/>
      <c r="S67" s="44"/>
      <c r="T67" s="44"/>
      <c r="U67" s="44"/>
      <c r="V67" s="111"/>
      <c r="W67" s="383"/>
      <c r="X67" s="383"/>
      <c r="Y67" s="383"/>
      <c r="Z67" s="383"/>
      <c r="AA67" s="44"/>
      <c r="AB67" s="223"/>
      <c r="AC67" s="44"/>
      <c r="AD67" s="44"/>
      <c r="AE67" s="153"/>
      <c r="AF67" s="48"/>
      <c r="AG67" s="44"/>
      <c r="AH67" s="44"/>
      <c r="AI67" s="44"/>
      <c r="AJ67" s="111"/>
      <c r="AK67" s="44"/>
      <c r="AL67" s="44"/>
      <c r="AM67" s="44"/>
      <c r="AN67" s="44"/>
      <c r="AO67" s="44"/>
      <c r="AP67" s="44"/>
      <c r="AQ67" s="44"/>
      <c r="AR67" s="44"/>
      <c r="AS67" s="153"/>
      <c r="BA67" s="4"/>
      <c r="BB67" s="4"/>
      <c r="BC67" s="9"/>
    </row>
    <row r="68" spans="2:56" ht="21" customHeight="1">
      <c r="B68" s="550" t="s">
        <v>266</v>
      </c>
      <c r="C68" s="424" t="s">
        <v>485</v>
      </c>
      <c r="D68" s="561">
        <v>210</v>
      </c>
      <c r="E68" s="2392">
        <v>12.032999999999999</v>
      </c>
      <c r="F68" s="380">
        <v>14.241</v>
      </c>
      <c r="G68" s="380">
        <v>36.677999999999997</v>
      </c>
      <c r="H68" s="1388">
        <v>323.01299999999998</v>
      </c>
      <c r="I68" s="219">
        <v>26</v>
      </c>
      <c r="J68" s="549" t="s">
        <v>842</v>
      </c>
      <c r="K68" s="13"/>
      <c r="O68"/>
      <c r="P68" s="170"/>
      <c r="R68" s="9"/>
      <c r="S68" s="44"/>
      <c r="T68" s="44"/>
      <c r="U68" s="44"/>
      <c r="V68" s="111"/>
      <c r="W68" s="44"/>
      <c r="X68" s="44"/>
      <c r="Y68" s="44"/>
      <c r="Z68" s="44"/>
      <c r="AA68" s="44"/>
      <c r="AB68" s="44"/>
      <c r="AC68" s="44"/>
      <c r="AD68" s="44"/>
      <c r="AE68" s="153"/>
      <c r="AF68" s="8"/>
      <c r="AG68" s="369"/>
      <c r="AH68" s="369"/>
      <c r="AI68" s="369"/>
      <c r="AJ68" s="370"/>
      <c r="AK68" s="369"/>
      <c r="AL68" s="369"/>
      <c r="AM68" s="371"/>
      <c r="AN68" s="369"/>
      <c r="AO68" s="371"/>
      <c r="AP68" s="371"/>
      <c r="AQ68" s="369"/>
      <c r="AR68" s="369"/>
      <c r="AS68" s="369"/>
      <c r="BA68" s="13"/>
      <c r="BB68" s="13"/>
      <c r="BC68" s="22"/>
    </row>
    <row r="69" spans="2:56" ht="13.5" customHeight="1">
      <c r="B69" s="89"/>
      <c r="C69" s="241" t="s">
        <v>395</v>
      </c>
      <c r="D69" s="561">
        <v>45</v>
      </c>
      <c r="E69" s="2392">
        <v>5.1769999999999996</v>
      </c>
      <c r="F69" s="380">
        <v>7.7670000000000003</v>
      </c>
      <c r="G69" s="380">
        <v>9.3000000000000007</v>
      </c>
      <c r="H69" s="1384">
        <v>127.81100000000001</v>
      </c>
      <c r="I69" s="219">
        <v>13</v>
      </c>
      <c r="J69" s="558" t="s">
        <v>10</v>
      </c>
      <c r="P69" s="32"/>
      <c r="Q69" s="169"/>
      <c r="R69" s="66"/>
      <c r="S69" s="44"/>
      <c r="T69" s="44"/>
      <c r="U69" s="44"/>
      <c r="V69" s="111"/>
      <c r="W69" s="44"/>
      <c r="X69" s="44"/>
      <c r="Y69" s="152"/>
      <c r="Z69" s="44"/>
      <c r="AA69" s="44"/>
      <c r="AB69" s="44"/>
      <c r="AC69" s="44"/>
      <c r="AD69" s="44"/>
      <c r="AE69" s="153"/>
      <c r="AF69" s="30"/>
      <c r="AT69" s="8"/>
      <c r="AU69" s="9"/>
      <c r="BA69" s="13"/>
      <c r="BB69" s="13"/>
      <c r="BC69" s="22"/>
    </row>
    <row r="70" spans="2:56" ht="15.75">
      <c r="B70" s="553" t="s">
        <v>267</v>
      </c>
      <c r="C70" s="556" t="s">
        <v>16</v>
      </c>
      <c r="D70" s="561">
        <v>200</v>
      </c>
      <c r="E70" s="2459">
        <v>0.2</v>
      </c>
      <c r="F70" s="380">
        <v>0</v>
      </c>
      <c r="G70" s="380">
        <v>6.5</v>
      </c>
      <c r="H70" s="1298">
        <v>26.8</v>
      </c>
      <c r="I70" s="572">
        <v>90</v>
      </c>
      <c r="J70" s="1272" t="s">
        <v>639</v>
      </c>
      <c r="P70" s="32"/>
      <c r="Q70" s="4"/>
      <c r="R70" s="9"/>
      <c r="S70" s="44"/>
      <c r="T70" s="44"/>
      <c r="U70" s="44"/>
      <c r="V70" s="111"/>
      <c r="W70" s="44"/>
      <c r="X70" s="44"/>
      <c r="Y70" s="44"/>
      <c r="Z70" s="44"/>
      <c r="AA70" s="44"/>
      <c r="AB70" s="44"/>
      <c r="AC70" s="44"/>
      <c r="AD70" s="44"/>
      <c r="AE70" s="153"/>
      <c r="AF70" s="118"/>
      <c r="AP70" s="43"/>
      <c r="AR70" s="43"/>
      <c r="AU70" s="9"/>
      <c r="BA70" s="13"/>
      <c r="BB70" s="13"/>
      <c r="BC70" s="22"/>
    </row>
    <row r="71" spans="2:56">
      <c r="B71" s="89"/>
      <c r="C71" s="424" t="s">
        <v>11</v>
      </c>
      <c r="D71" s="561">
        <v>40</v>
      </c>
      <c r="E71" s="2392">
        <v>2.1070000000000002</v>
      </c>
      <c r="F71" s="380">
        <v>0.28000000000000003</v>
      </c>
      <c r="G71" s="380">
        <v>16.32</v>
      </c>
      <c r="H71" s="1384">
        <v>76.227999999999994</v>
      </c>
      <c r="I71" s="562">
        <v>11</v>
      </c>
      <c r="J71" s="558" t="s">
        <v>10</v>
      </c>
      <c r="P71"/>
      <c r="Q71" s="4"/>
      <c r="R71" s="9"/>
      <c r="S71" s="44"/>
      <c r="T71" s="44"/>
      <c r="U71" s="44"/>
      <c r="V71" s="111"/>
      <c r="W71" s="44"/>
      <c r="X71" s="44"/>
      <c r="Y71" s="44"/>
      <c r="Z71" s="44"/>
      <c r="AA71" s="44"/>
      <c r="AB71" s="44"/>
      <c r="AC71" s="44"/>
      <c r="AD71" s="44"/>
      <c r="AE71" s="153"/>
      <c r="AJ71" s="146"/>
      <c r="AR71" s="43"/>
      <c r="AU71" s="9"/>
      <c r="AV71" s="8"/>
      <c r="AW71" s="8"/>
    </row>
    <row r="72" spans="2:56" ht="15.75">
      <c r="B72" s="555" t="s">
        <v>13</v>
      </c>
      <c r="C72" s="424" t="s">
        <v>792</v>
      </c>
      <c r="D72" s="551">
        <v>40</v>
      </c>
      <c r="E72" s="2402">
        <v>2.2599999999999998</v>
      </c>
      <c r="F72" s="381">
        <v>0.48</v>
      </c>
      <c r="G72" s="381">
        <v>16.739999999999998</v>
      </c>
      <c r="H72" s="1298">
        <v>80.319999999999993</v>
      </c>
      <c r="I72" s="562">
        <v>12</v>
      </c>
      <c r="J72" s="558" t="s">
        <v>10</v>
      </c>
      <c r="P72" s="385"/>
      <c r="Q72" s="218"/>
      <c r="R72" s="1"/>
      <c r="S72" s="46"/>
      <c r="T72" s="46"/>
      <c r="U72" s="46"/>
      <c r="V72" s="204"/>
      <c r="W72" s="46"/>
      <c r="X72" s="46"/>
      <c r="Y72" s="46"/>
      <c r="Z72" s="46"/>
      <c r="AA72" s="46"/>
      <c r="AB72" s="214"/>
      <c r="AC72" s="46"/>
      <c r="AD72" s="46"/>
      <c r="AE72" s="66"/>
      <c r="AG72" s="30"/>
      <c r="AH72" s="4"/>
      <c r="AI72" s="8"/>
      <c r="AJ72" s="9"/>
      <c r="AK72" s="9"/>
      <c r="AL72" s="9"/>
      <c r="AM72" s="113"/>
      <c r="AN72" s="148"/>
      <c r="AO72" s="151"/>
      <c r="AP72" s="151"/>
      <c r="AQ72" s="151"/>
      <c r="AR72" s="121"/>
      <c r="AS72" s="151"/>
      <c r="AT72" s="151"/>
      <c r="AU72" s="151"/>
      <c r="AV72" s="8"/>
      <c r="AW72" s="8"/>
    </row>
    <row r="73" spans="2:56" ht="16.5" thickBot="1">
      <c r="B73" s="559" t="s">
        <v>268</v>
      </c>
      <c r="C73" s="630" t="s">
        <v>1005</v>
      </c>
      <c r="D73" s="574">
        <v>105</v>
      </c>
      <c r="E73" s="2421">
        <v>0.42</v>
      </c>
      <c r="F73" s="586">
        <v>0.42</v>
      </c>
      <c r="G73" s="586">
        <v>10.29</v>
      </c>
      <c r="H73" s="2488">
        <v>49.35</v>
      </c>
      <c r="I73" s="627">
        <v>73</v>
      </c>
      <c r="J73" s="549" t="s">
        <v>1004</v>
      </c>
      <c r="P73" s="45"/>
      <c r="Q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G73" s="39"/>
      <c r="AI73" s="40"/>
      <c r="AJ73" s="9"/>
      <c r="AK73" s="9"/>
      <c r="AL73" s="9"/>
      <c r="AM73" s="170"/>
      <c r="AN73" s="700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6">
      <c r="B74" s="565" t="s">
        <v>283</v>
      </c>
      <c r="D74" s="169">
        <f>SUM(D68:D73)</f>
        <v>640</v>
      </c>
      <c r="E74" s="566">
        <f>SUM(E68:E73)</f>
        <v>22.197000000000003</v>
      </c>
      <c r="F74" s="1353">
        <f>SUM(F68:F73)</f>
        <v>23.188000000000002</v>
      </c>
      <c r="G74" s="567">
        <f>SUM(G68:G73)</f>
        <v>95.828000000000003</v>
      </c>
      <c r="H74" s="2486">
        <f>SUM(H68:H73)</f>
        <v>683.52200000000005</v>
      </c>
      <c r="I74" s="1286" t="s">
        <v>482</v>
      </c>
      <c r="J74" s="1020" t="s">
        <v>280</v>
      </c>
      <c r="P74" s="55"/>
      <c r="Q74" s="4"/>
      <c r="R74" s="9"/>
      <c r="S74" s="44"/>
      <c r="T74" s="44"/>
      <c r="U74" s="44"/>
      <c r="V74" s="111"/>
      <c r="W74" s="383"/>
      <c r="X74" s="383"/>
      <c r="Y74" s="383"/>
      <c r="Z74" s="383"/>
      <c r="AA74" s="44"/>
      <c r="AB74" s="223"/>
      <c r="AC74" s="44"/>
      <c r="AD74" s="44"/>
      <c r="AE74" s="119"/>
      <c r="AH74" s="169"/>
      <c r="AJ74" s="9"/>
      <c r="AK74" s="9"/>
      <c r="AL74" s="9"/>
      <c r="AM74" s="32"/>
      <c r="AN74" s="22"/>
      <c r="AO74" s="22"/>
      <c r="AP74" s="13"/>
      <c r="AQ74" s="13"/>
      <c r="AR74" s="13"/>
      <c r="AS74" s="14"/>
      <c r="AT74" s="14"/>
      <c r="AU74" s="64"/>
      <c r="AV74" s="13"/>
      <c r="AW74" s="13"/>
      <c r="AX74" s="14"/>
      <c r="AY74" s="13"/>
      <c r="AZ74" s="13"/>
      <c r="BA74" s="13"/>
      <c r="BB74" s="13"/>
    </row>
    <row r="75" spans="2:56" ht="12.75" customHeight="1">
      <c r="B75" s="1343"/>
      <c r="C75" s="2329" t="s">
        <v>12</v>
      </c>
      <c r="D75" s="2345">
        <v>0.25</v>
      </c>
      <c r="E75" s="2326">
        <v>22.5</v>
      </c>
      <c r="F75" s="2327">
        <v>23</v>
      </c>
      <c r="G75" s="2327">
        <v>95.75</v>
      </c>
      <c r="H75" s="2328">
        <v>680</v>
      </c>
      <c r="I75" s="1030">
        <f>H75-H74</f>
        <v>-3.5220000000000482</v>
      </c>
      <c r="J75" s="2314" t="s">
        <v>938</v>
      </c>
      <c r="P75" s="32"/>
      <c r="Q75" s="699"/>
      <c r="R75" s="9"/>
      <c r="S75" s="153"/>
      <c r="T75" s="430"/>
      <c r="U75" s="153"/>
      <c r="V75" s="111"/>
      <c r="W75" s="153"/>
      <c r="X75" s="153"/>
      <c r="Y75" s="147"/>
      <c r="Z75" s="430"/>
      <c r="AA75" s="153"/>
      <c r="AB75" s="147"/>
      <c r="AC75" s="153"/>
      <c r="AD75" s="701"/>
      <c r="AE75" s="153"/>
      <c r="AM75" s="3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2:56" ht="13.5" customHeight="1" thickBot="1">
      <c r="B76" s="237"/>
      <c r="C76" s="1347" t="s">
        <v>957</v>
      </c>
      <c r="D76" s="2323"/>
      <c r="E76" s="2421">
        <f>(E74*100/E97)-25</f>
        <v>-0.33666666666666245</v>
      </c>
      <c r="F76" s="586">
        <f>(F74*100/F97)-25</f>
        <v>0.20434782608695912</v>
      </c>
      <c r="G76" s="586">
        <f>(G74*100/G97)-25</f>
        <v>2.0365535248043187E-2</v>
      </c>
      <c r="H76" s="2487">
        <f>(H74*100/H97)-25</f>
        <v>0.12948529411765008</v>
      </c>
      <c r="I76" s="2324"/>
      <c r="J76" s="2325"/>
      <c r="O76" s="44"/>
      <c r="P76" s="32"/>
      <c r="Q76" s="169"/>
      <c r="R76" s="66"/>
      <c r="S76" s="44"/>
      <c r="T76" s="44"/>
      <c r="U76" s="152"/>
      <c r="V76" s="111"/>
      <c r="W76" s="44"/>
      <c r="X76" s="153"/>
      <c r="Y76" s="153"/>
      <c r="Z76" s="153"/>
      <c r="AA76" s="153"/>
      <c r="AB76" s="153"/>
      <c r="AC76" s="153"/>
      <c r="AD76" s="153"/>
      <c r="AE76" s="153"/>
      <c r="AL76" s="66"/>
      <c r="BC76" s="8"/>
    </row>
    <row r="77" spans="2:56" ht="13.5" customHeight="1">
      <c r="B77" s="99"/>
      <c r="C77" s="163" t="s">
        <v>152</v>
      </c>
      <c r="D77" s="99"/>
      <c r="E77" s="2446"/>
      <c r="F77" s="2447"/>
      <c r="G77" s="2447"/>
      <c r="H77" s="2447"/>
      <c r="I77" s="571"/>
      <c r="J77" s="571"/>
      <c r="P77"/>
      <c r="Q77" s="4"/>
      <c r="R77" s="66"/>
      <c r="S77" s="44"/>
      <c r="T77" s="44"/>
      <c r="U77" s="44"/>
      <c r="V77" s="111"/>
      <c r="W77" s="383"/>
      <c r="X77" s="383"/>
      <c r="Y77" s="383"/>
      <c r="Z77" s="383"/>
      <c r="AA77" s="44"/>
      <c r="AB77" s="223"/>
      <c r="AC77" s="44"/>
      <c r="AD77" s="44"/>
      <c r="AE77" s="119"/>
      <c r="AL77" s="46"/>
    </row>
    <row r="78" spans="2:56">
      <c r="B78" s="550" t="s">
        <v>266</v>
      </c>
      <c r="C78" s="582" t="s">
        <v>363</v>
      </c>
      <c r="D78" s="561">
        <v>60</v>
      </c>
      <c r="E78" s="2392">
        <v>0.5</v>
      </c>
      <c r="F78" s="380">
        <v>0.1</v>
      </c>
      <c r="G78" s="380">
        <v>1.5</v>
      </c>
      <c r="H78" s="1384">
        <v>8.5</v>
      </c>
      <c r="I78" s="557">
        <v>1</v>
      </c>
      <c r="J78" s="644" t="s">
        <v>687</v>
      </c>
      <c r="P78"/>
      <c r="Q78" s="4"/>
      <c r="R78" s="9"/>
      <c r="S78" s="44"/>
      <c r="T78" s="44"/>
      <c r="U78" s="44"/>
      <c r="V78" s="111"/>
      <c r="W78" s="222"/>
      <c r="X78" s="152"/>
      <c r="Y78" s="152"/>
      <c r="Z78" s="152"/>
      <c r="AA78" s="152"/>
      <c r="AB78" s="152"/>
      <c r="AC78" s="152"/>
      <c r="AD78" s="152"/>
      <c r="AE78" s="153"/>
      <c r="AJ78" s="1"/>
      <c r="AK78" s="1"/>
      <c r="AL78" s="1"/>
    </row>
    <row r="79" spans="2:56" ht="13.5" customHeight="1">
      <c r="B79" s="89"/>
      <c r="C79" s="591" t="s">
        <v>284</v>
      </c>
      <c r="D79" s="583">
        <v>250</v>
      </c>
      <c r="E79" s="2392">
        <v>5.0655999999999999</v>
      </c>
      <c r="F79" s="380">
        <v>6.1989999999999998</v>
      </c>
      <c r="G79" s="380">
        <v>13.552</v>
      </c>
      <c r="H79" s="2398">
        <v>109.59099999999999</v>
      </c>
      <c r="I79" s="557">
        <v>14</v>
      </c>
      <c r="J79" s="549" t="s">
        <v>793</v>
      </c>
      <c r="K79" s="22"/>
      <c r="O79" s="44"/>
      <c r="P79" s="119"/>
      <c r="Q79" s="4"/>
      <c r="R79" s="9"/>
      <c r="S79" s="44"/>
      <c r="T79" s="44"/>
      <c r="U79" s="44"/>
      <c r="V79" s="111"/>
      <c r="W79" s="44"/>
      <c r="X79" s="44"/>
      <c r="Y79" s="44"/>
      <c r="Z79" s="44"/>
      <c r="AA79" s="44"/>
      <c r="AB79" s="44"/>
      <c r="AC79" s="44"/>
      <c r="AD79" s="44"/>
      <c r="AE79" s="153"/>
      <c r="BC79" s="19"/>
      <c r="BD79" s="22"/>
    </row>
    <row r="80" spans="2:56" ht="16.5" customHeight="1">
      <c r="B80" s="553" t="s">
        <v>267</v>
      </c>
      <c r="C80" s="597" t="s">
        <v>355</v>
      </c>
      <c r="D80" s="551">
        <v>200</v>
      </c>
      <c r="E80" s="1276">
        <v>6.3</v>
      </c>
      <c r="F80" s="1294">
        <v>8.1</v>
      </c>
      <c r="G80" s="2400">
        <v>35.299999999999997</v>
      </c>
      <c r="H80" s="1388">
        <v>241.1</v>
      </c>
      <c r="I80" s="589">
        <v>31</v>
      </c>
      <c r="J80" s="552" t="s">
        <v>626</v>
      </c>
      <c r="K80" s="1029"/>
      <c r="P80" s="32"/>
      <c r="Q80" s="116"/>
      <c r="R80" s="9"/>
      <c r="S80" s="44"/>
      <c r="T80" s="44"/>
      <c r="U80" s="44"/>
      <c r="V80" s="111"/>
      <c r="W80" s="44"/>
      <c r="X80" s="44"/>
      <c r="Y80" s="44"/>
      <c r="Z80" s="44"/>
      <c r="AA80" s="44"/>
      <c r="AB80" s="44"/>
      <c r="AC80" s="44"/>
      <c r="AD80" s="44"/>
      <c r="AE80" s="153"/>
      <c r="AM80" s="32"/>
      <c r="AN80" s="382"/>
      <c r="AO80" s="9"/>
      <c r="AP80" s="153"/>
      <c r="AQ80" s="430"/>
      <c r="AR80" s="153"/>
      <c r="AS80" s="111"/>
      <c r="AT80" s="153"/>
      <c r="AU80" s="383"/>
      <c r="AV80" s="147"/>
      <c r="AW80" s="430"/>
      <c r="AX80" s="153"/>
      <c r="AY80" s="147"/>
      <c r="AZ80" s="153"/>
      <c r="BA80" s="153"/>
      <c r="BB80" s="153"/>
      <c r="BC80" s="13"/>
      <c r="BD80" s="22"/>
    </row>
    <row r="81" spans="2:56">
      <c r="B81" s="89"/>
      <c r="C81" s="599" t="s">
        <v>344</v>
      </c>
      <c r="D81" s="583" t="s">
        <v>944</v>
      </c>
      <c r="E81" s="2392">
        <v>11.728999999999999</v>
      </c>
      <c r="F81" s="380">
        <v>10.923</v>
      </c>
      <c r="G81" s="380">
        <v>15.949</v>
      </c>
      <c r="H81" s="1384">
        <f>G81*4+F81*9+E81*4</f>
        <v>209.01900000000001</v>
      </c>
      <c r="I81" s="557">
        <v>63</v>
      </c>
      <c r="J81" s="549" t="s">
        <v>343</v>
      </c>
      <c r="O81"/>
      <c r="P81" s="789"/>
      <c r="Q81" s="4"/>
      <c r="R81" s="9"/>
      <c r="S81" s="44"/>
      <c r="T81" s="152"/>
      <c r="U81" s="44"/>
      <c r="V81" s="111"/>
      <c r="W81" s="44"/>
      <c r="X81" s="44"/>
      <c r="Y81" s="44"/>
      <c r="Z81" s="44"/>
      <c r="AA81" s="44"/>
      <c r="AB81" s="44"/>
      <c r="AC81" s="223"/>
      <c r="AD81" s="44"/>
      <c r="AE81" s="153"/>
      <c r="AH81" s="40"/>
      <c r="AM81" s="32"/>
      <c r="AN81" s="4"/>
      <c r="AO81" s="9"/>
      <c r="AP81" s="44"/>
      <c r="AQ81" s="44"/>
      <c r="AR81" s="152"/>
      <c r="AS81" s="111"/>
      <c r="AT81" s="44"/>
      <c r="AU81" s="153"/>
      <c r="AV81" s="153"/>
      <c r="AW81" s="153"/>
      <c r="AX81" s="153"/>
      <c r="AY81" s="153"/>
      <c r="AZ81" s="153"/>
      <c r="BA81" s="153"/>
      <c r="BB81" s="153"/>
      <c r="BC81" s="13"/>
      <c r="BD81" s="22"/>
    </row>
    <row r="82" spans="2:56" ht="15.75">
      <c r="B82" s="555" t="s">
        <v>13</v>
      </c>
      <c r="C82" s="756" t="s">
        <v>1018</v>
      </c>
      <c r="D82" s="561">
        <v>200</v>
      </c>
      <c r="E82" s="2392">
        <v>5.9969999999999999</v>
      </c>
      <c r="F82" s="380">
        <v>6.3090000000000002</v>
      </c>
      <c r="G82" s="380">
        <v>23.1694</v>
      </c>
      <c r="H82" s="2398">
        <v>175.45599999999999</v>
      </c>
      <c r="I82" s="580">
        <v>84</v>
      </c>
      <c r="J82" s="549" t="s">
        <v>1019</v>
      </c>
      <c r="P82" s="63"/>
      <c r="Q82" s="4"/>
      <c r="R82" s="1"/>
      <c r="S82" s="46"/>
      <c r="T82" s="46"/>
      <c r="U82" s="46"/>
      <c r="V82" s="204"/>
      <c r="W82" s="46"/>
      <c r="X82" s="46"/>
      <c r="Y82" s="46"/>
      <c r="Z82" s="46"/>
      <c r="AA82" s="46"/>
      <c r="AB82" s="214"/>
      <c r="AC82" s="46"/>
      <c r="AD82" s="46"/>
      <c r="AE82" s="48"/>
      <c r="AH82" s="40"/>
      <c r="AL82" s="8"/>
      <c r="AM82" s="32"/>
      <c r="AN82" s="4"/>
      <c r="BC82" s="4"/>
      <c r="BD82" s="22"/>
    </row>
    <row r="83" spans="2:56">
      <c r="B83" s="559" t="s">
        <v>268</v>
      </c>
      <c r="C83" s="582" t="s">
        <v>11</v>
      </c>
      <c r="D83" s="561">
        <v>70</v>
      </c>
      <c r="E83" s="2392">
        <v>3.6880000000000002</v>
      </c>
      <c r="F83" s="380">
        <v>0.49</v>
      </c>
      <c r="G83" s="380">
        <v>26.56</v>
      </c>
      <c r="H83" s="1384">
        <v>125.402</v>
      </c>
      <c r="I83" s="562">
        <v>11</v>
      </c>
      <c r="J83" s="558" t="s">
        <v>10</v>
      </c>
      <c r="P83" s="32"/>
      <c r="Q83" s="4"/>
      <c r="R83" s="8"/>
      <c r="S83" s="702"/>
      <c r="T83" s="702"/>
      <c r="U83" s="702"/>
      <c r="V83" s="702"/>
      <c r="W83" s="702"/>
      <c r="X83" s="702"/>
      <c r="Y83" s="703"/>
      <c r="Z83" s="702"/>
      <c r="AA83" s="703"/>
      <c r="AB83" s="703"/>
      <c r="AC83" s="702"/>
      <c r="AD83" s="702"/>
      <c r="AE83" s="702"/>
      <c r="AG83" s="63"/>
      <c r="AH83" s="169"/>
      <c r="AM83" s="32"/>
      <c r="AN83" s="4"/>
      <c r="AO83" s="9"/>
      <c r="AP83" s="44"/>
      <c r="AQ83" s="44"/>
      <c r="AR83" s="44"/>
      <c r="AS83" s="111"/>
      <c r="AT83" s="44"/>
      <c r="AU83" s="44"/>
      <c r="AV83" s="44"/>
      <c r="AW83" s="44"/>
      <c r="AX83" s="44"/>
      <c r="AY83" s="44"/>
      <c r="AZ83" s="44"/>
      <c r="BA83" s="44"/>
      <c r="BB83" s="153"/>
      <c r="BC83" s="13"/>
      <c r="BD83" s="22"/>
    </row>
    <row r="84" spans="2:56" ht="17.25" customHeight="1" thickBot="1">
      <c r="B84" s="89"/>
      <c r="C84" s="585" t="s">
        <v>792</v>
      </c>
      <c r="D84" s="574">
        <v>40</v>
      </c>
      <c r="E84" s="2392">
        <v>2.2599999999999998</v>
      </c>
      <c r="F84" s="380">
        <v>0.48</v>
      </c>
      <c r="G84" s="380">
        <v>16.739999999999998</v>
      </c>
      <c r="H84" s="1388">
        <v>80.319999999999993</v>
      </c>
      <c r="I84" s="748">
        <v>12</v>
      </c>
      <c r="J84" s="558" t="s">
        <v>10</v>
      </c>
      <c r="P84" s="32"/>
      <c r="Q84" s="4"/>
      <c r="S84" s="437"/>
      <c r="T84" s="437"/>
      <c r="U84" s="437"/>
      <c r="V84" s="437"/>
      <c r="W84" s="704"/>
      <c r="X84" s="437"/>
      <c r="Y84" s="437"/>
      <c r="Z84" s="437"/>
      <c r="AA84" s="432"/>
      <c r="AB84" s="432"/>
      <c r="AC84" s="437"/>
      <c r="AD84" s="437"/>
      <c r="AE84" s="438"/>
      <c r="AG84" s="63"/>
      <c r="AH84" s="4"/>
      <c r="AI84" s="150"/>
      <c r="AM84" s="32"/>
      <c r="AN84" s="4"/>
      <c r="AO84" s="9"/>
      <c r="AP84" s="44"/>
      <c r="AQ84" s="44"/>
      <c r="AR84" s="44"/>
      <c r="AS84" s="111"/>
      <c r="AT84" s="44"/>
      <c r="AU84" s="44"/>
      <c r="AV84" s="44"/>
      <c r="AW84" s="44"/>
      <c r="AX84" s="44"/>
      <c r="AY84" s="44"/>
      <c r="AZ84" s="44"/>
      <c r="BA84" s="44"/>
      <c r="BB84" s="153"/>
      <c r="BC84" s="13"/>
      <c r="BD84" s="22"/>
    </row>
    <row r="85" spans="2:56" ht="16.5" customHeight="1">
      <c r="B85" s="565" t="s">
        <v>269</v>
      </c>
      <c r="C85" s="34"/>
      <c r="D85" s="169">
        <f>D78+D79+D80+D82+D83+D84+60+60</f>
        <v>940</v>
      </c>
      <c r="E85" s="575">
        <f>SUM(E78:E84)</f>
        <v>35.5396</v>
      </c>
      <c r="F85" s="1353">
        <f>SUM(F78:F84)</f>
        <v>32.600999999999999</v>
      </c>
      <c r="G85" s="576">
        <f>SUM(G78:G84)</f>
        <v>132.7704</v>
      </c>
      <c r="H85" s="2486">
        <f>SUM(H78:H84)</f>
        <v>949.38800000000015</v>
      </c>
      <c r="I85" s="1286" t="s">
        <v>482</v>
      </c>
      <c r="J85" s="1020" t="s">
        <v>280</v>
      </c>
      <c r="Q85" s="69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G85" s="377"/>
      <c r="AH85" s="4"/>
      <c r="AI85" s="9"/>
      <c r="AL85" s="22"/>
      <c r="AN85" s="169"/>
      <c r="AP85" s="44"/>
      <c r="AQ85" s="44"/>
      <c r="AR85" s="44"/>
      <c r="AS85" s="111"/>
      <c r="AT85" s="44"/>
      <c r="AU85" s="44"/>
      <c r="AV85" s="44"/>
      <c r="AW85" s="44"/>
      <c r="AX85" s="44"/>
      <c r="AY85" s="44"/>
      <c r="AZ85" s="44"/>
      <c r="BA85" s="44"/>
      <c r="BB85" s="153"/>
      <c r="BC85" s="13"/>
      <c r="BD85" s="22"/>
    </row>
    <row r="86" spans="2:56" ht="15" customHeight="1">
      <c r="B86" s="1343"/>
      <c r="C86" s="2329" t="s">
        <v>12</v>
      </c>
      <c r="D86" s="2330">
        <v>0.35</v>
      </c>
      <c r="E86" s="2326">
        <v>31.5</v>
      </c>
      <c r="F86" s="2327">
        <v>32.200000000000003</v>
      </c>
      <c r="G86" s="2327">
        <v>134.05000000000001</v>
      </c>
      <c r="H86" s="2328">
        <v>952</v>
      </c>
      <c r="I86" s="1030">
        <f>H86-H85</f>
        <v>2.6119999999998527</v>
      </c>
      <c r="J86" s="2314" t="s">
        <v>938</v>
      </c>
      <c r="P86" s="33"/>
      <c r="Q86" s="43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G86" s="45"/>
      <c r="AH86" s="4"/>
      <c r="AI86" s="9"/>
      <c r="AJ86" s="8"/>
      <c r="AK86" s="8"/>
      <c r="AL86" s="8"/>
      <c r="AM86" s="45"/>
      <c r="AN86" s="4"/>
      <c r="AO86" s="9"/>
      <c r="AP86" s="44"/>
      <c r="AQ86" s="44"/>
      <c r="AR86" s="44"/>
      <c r="AS86" s="111"/>
      <c r="AT86" s="44"/>
      <c r="AU86" s="44"/>
      <c r="AV86" s="152"/>
      <c r="AW86" s="44"/>
      <c r="AX86" s="44"/>
      <c r="AY86" s="44"/>
      <c r="AZ86" s="44"/>
      <c r="BA86" s="44"/>
      <c r="BB86" s="153"/>
      <c r="BC86" s="13"/>
      <c r="BD86" s="22"/>
    </row>
    <row r="87" spans="2:56" ht="13.5" customHeight="1" thickBot="1">
      <c r="B87" s="237"/>
      <c r="C87" s="1347" t="s">
        <v>957</v>
      </c>
      <c r="D87" s="2323"/>
      <c r="E87" s="2421">
        <f>(E85*100/E97)-35</f>
        <v>4.4884444444444469</v>
      </c>
      <c r="F87" s="586">
        <f>(F85*100/F97)-35</f>
        <v>0.43586956521738784</v>
      </c>
      <c r="G87" s="586">
        <f>(G85*100/G97)-35</f>
        <v>-0.33409921671018594</v>
      </c>
      <c r="H87" s="2487">
        <f>(H85*100/H97)-35</f>
        <v>-9.6029411764696704E-2</v>
      </c>
      <c r="I87" s="2324"/>
      <c r="J87" s="2325"/>
      <c r="P87"/>
      <c r="Q87" s="436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J87" s="8"/>
      <c r="AK87" s="8"/>
      <c r="AL87" s="8"/>
      <c r="AM87" s="55"/>
      <c r="AN87" s="46"/>
      <c r="AO87" s="66"/>
      <c r="AP87" s="44"/>
      <c r="AQ87" s="44"/>
      <c r="AR87" s="44"/>
      <c r="AS87" s="111"/>
      <c r="AT87" s="44"/>
      <c r="AU87" s="44"/>
      <c r="AV87" s="152"/>
      <c r="AW87" s="44"/>
      <c r="AX87" s="44"/>
      <c r="AY87" s="44"/>
      <c r="AZ87" s="44"/>
      <c r="BA87" s="44"/>
      <c r="BB87" s="153"/>
      <c r="BC87" s="13"/>
      <c r="BD87" s="22"/>
    </row>
    <row r="88" spans="2:56" ht="12.75" customHeight="1">
      <c r="B88" s="550" t="s">
        <v>266</v>
      </c>
      <c r="C88" s="162" t="s">
        <v>324</v>
      </c>
      <c r="D88" s="99"/>
      <c r="E88" s="2446"/>
      <c r="F88" s="2447"/>
      <c r="G88" s="2447"/>
      <c r="H88" s="2497"/>
      <c r="I88" s="590"/>
      <c r="J88" s="571"/>
      <c r="P88" s="9"/>
      <c r="R88" s="22"/>
      <c r="S88" s="13"/>
      <c r="T88" s="13"/>
      <c r="U88" s="13"/>
      <c r="V88" s="14"/>
      <c r="W88" s="14"/>
      <c r="X88" s="64"/>
      <c r="Y88" s="13"/>
      <c r="Z88" s="13"/>
      <c r="AA88" s="14"/>
      <c r="AB88" s="13"/>
      <c r="AC88" s="13"/>
      <c r="AD88" s="13"/>
      <c r="AE88" s="13"/>
      <c r="AJ88" s="9"/>
      <c r="AK88" s="9"/>
      <c r="AL88" s="9"/>
      <c r="AM88" s="33"/>
      <c r="AN88" s="4"/>
      <c r="AO88" s="9"/>
      <c r="AP88" s="44"/>
      <c r="AQ88" s="152"/>
      <c r="AR88" s="44"/>
      <c r="AS88" s="111"/>
      <c r="AT88" s="44"/>
      <c r="AU88" s="44"/>
      <c r="AV88" s="44"/>
      <c r="AW88" s="44"/>
      <c r="AX88" s="44"/>
      <c r="AY88" s="44"/>
      <c r="AZ88" s="223"/>
      <c r="BA88" s="44"/>
      <c r="BB88" s="153"/>
      <c r="BC88" s="13"/>
      <c r="BD88" s="22"/>
    </row>
    <row r="89" spans="2:56" ht="16.5" customHeight="1">
      <c r="B89" s="553" t="s">
        <v>267</v>
      </c>
      <c r="C89" s="556" t="s">
        <v>16</v>
      </c>
      <c r="D89" s="561">
        <v>200</v>
      </c>
      <c r="E89" s="2459">
        <v>0.2</v>
      </c>
      <c r="F89" s="380">
        <v>0</v>
      </c>
      <c r="G89" s="380">
        <v>6.5</v>
      </c>
      <c r="H89" s="1298">
        <v>26.8</v>
      </c>
      <c r="I89" s="572">
        <v>90</v>
      </c>
      <c r="J89" s="1272" t="s">
        <v>639</v>
      </c>
      <c r="K89" s="22"/>
      <c r="P89"/>
      <c r="Q89" s="700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J89" s="8"/>
      <c r="AK89" s="8"/>
      <c r="AL89" s="8"/>
      <c r="BC89" s="13"/>
      <c r="BD89" s="22"/>
    </row>
    <row r="90" spans="2:56" ht="16.5" customHeight="1">
      <c r="B90" s="555" t="s">
        <v>13</v>
      </c>
      <c r="C90" s="241" t="s">
        <v>964</v>
      </c>
      <c r="D90" s="561" t="s">
        <v>966</v>
      </c>
      <c r="E90" s="2459">
        <v>5.3440000000000003</v>
      </c>
      <c r="F90" s="380">
        <v>4.6449999999999996</v>
      </c>
      <c r="G90" s="380">
        <v>14.28</v>
      </c>
      <c r="H90" s="1384">
        <v>120.301</v>
      </c>
      <c r="I90" s="557">
        <v>10</v>
      </c>
      <c r="J90" s="644" t="s">
        <v>965</v>
      </c>
      <c r="K90" s="1029"/>
      <c r="P9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J90" s="8"/>
      <c r="AK90" s="8"/>
      <c r="AL90" s="8"/>
      <c r="BD90" s="22"/>
    </row>
    <row r="91" spans="2:56" ht="16.5" customHeight="1" thickBot="1">
      <c r="B91" s="559" t="s">
        <v>268</v>
      </c>
      <c r="C91" s="563" t="s">
        <v>1008</v>
      </c>
      <c r="D91" s="574">
        <v>110</v>
      </c>
      <c r="E91" s="2421">
        <v>1.98</v>
      </c>
      <c r="F91" s="586">
        <v>4.3289999999999997</v>
      </c>
      <c r="G91" s="586">
        <v>18.913</v>
      </c>
      <c r="H91" s="1384">
        <v>122.533</v>
      </c>
      <c r="I91" s="562">
        <v>74</v>
      </c>
      <c r="J91" s="564" t="s">
        <v>1004</v>
      </c>
      <c r="P91" s="170"/>
      <c r="Q91" s="22"/>
      <c r="R91" s="9"/>
      <c r="S91" s="44"/>
      <c r="T91" s="44"/>
      <c r="U91" s="44"/>
      <c r="V91" s="111"/>
      <c r="W91" s="383"/>
      <c r="X91" s="383"/>
      <c r="Y91" s="383"/>
      <c r="Z91" s="383"/>
      <c r="AA91" s="44"/>
      <c r="AB91" s="223"/>
      <c r="AC91" s="44"/>
      <c r="AD91" s="44"/>
      <c r="AE91" s="153"/>
      <c r="AF91" s="30"/>
      <c r="AJ91" s="8"/>
      <c r="AK91" s="8"/>
      <c r="AL91" s="8"/>
      <c r="AM91" s="8"/>
      <c r="AN91" s="8"/>
      <c r="AO91" s="8"/>
      <c r="AP91" s="8"/>
      <c r="AQ91" s="8"/>
      <c r="AR91" s="8"/>
      <c r="AS91" s="8"/>
      <c r="AX91" s="8"/>
      <c r="AY91" s="8"/>
      <c r="BB91" s="13"/>
      <c r="BC91" s="13"/>
      <c r="BD91" s="22"/>
    </row>
    <row r="92" spans="2:56" ht="17.25" customHeight="1">
      <c r="B92" s="565" t="s">
        <v>357</v>
      </c>
      <c r="C92" s="34"/>
      <c r="D92" s="577">
        <f>D89+D91+15+35</f>
        <v>360</v>
      </c>
      <c r="E92" s="575">
        <f>SUM(E89:E91)</f>
        <v>7.5240000000000009</v>
      </c>
      <c r="F92" s="1353">
        <f>SUM(F89:F91)</f>
        <v>8.9740000000000002</v>
      </c>
      <c r="G92" s="576">
        <f>SUM(G89:G91)</f>
        <v>39.692999999999998</v>
      </c>
      <c r="H92" s="2486">
        <f>SUM(H89:H91)</f>
        <v>269.63400000000001</v>
      </c>
      <c r="I92" s="1273" t="s">
        <v>482</v>
      </c>
      <c r="J92" s="1020" t="s">
        <v>280</v>
      </c>
      <c r="P92"/>
      <c r="R92" s="66"/>
      <c r="S92" s="153"/>
      <c r="T92" s="430"/>
      <c r="U92" s="153"/>
      <c r="V92" s="111"/>
      <c r="W92" s="153"/>
      <c r="X92" s="153"/>
      <c r="Y92" s="147"/>
      <c r="Z92" s="430"/>
      <c r="AA92" s="153"/>
      <c r="AB92" s="147"/>
      <c r="AC92" s="153"/>
      <c r="AD92" s="701"/>
      <c r="AE92" s="153"/>
      <c r="AF92" s="32"/>
      <c r="AG92" s="63"/>
      <c r="AH92" s="46"/>
      <c r="AI92" s="3"/>
      <c r="AJ92" s="111"/>
      <c r="AK92" s="44"/>
      <c r="AL92" s="44"/>
      <c r="AM92" s="44"/>
      <c r="AN92" s="44"/>
      <c r="AO92" s="44"/>
      <c r="AP92" s="44"/>
      <c r="AQ92" s="44"/>
      <c r="AR92" s="44"/>
      <c r="AX92" s="17"/>
      <c r="AY92" s="8"/>
      <c r="BB92" s="4"/>
      <c r="BC92" s="4"/>
      <c r="BD92" s="8"/>
    </row>
    <row r="93" spans="2:56" ht="15" customHeight="1">
      <c r="B93" s="1343"/>
      <c r="C93" s="2329" t="s">
        <v>12</v>
      </c>
      <c r="D93" s="2320">
        <v>0.1</v>
      </c>
      <c r="E93" s="2326">
        <v>9</v>
      </c>
      <c r="F93" s="2327">
        <v>9.1999999999999993</v>
      </c>
      <c r="G93" s="2327">
        <v>38.299999999999997</v>
      </c>
      <c r="H93" s="2328">
        <v>272</v>
      </c>
      <c r="I93" s="2344">
        <f>H93-H92</f>
        <v>2.3659999999999854</v>
      </c>
      <c r="J93" s="2314" t="s">
        <v>938</v>
      </c>
      <c r="P93" s="32"/>
      <c r="Q93" s="169"/>
      <c r="R93" s="8"/>
      <c r="S93" s="44"/>
      <c r="T93" s="44"/>
      <c r="U93" s="152"/>
      <c r="V93" s="111"/>
      <c r="W93" s="44"/>
      <c r="X93" s="153"/>
      <c r="Y93" s="153"/>
      <c r="Z93" s="153"/>
      <c r="AA93" s="153"/>
      <c r="AB93" s="153"/>
      <c r="AC93" s="153"/>
      <c r="AD93" s="153"/>
      <c r="AE93" s="153"/>
      <c r="AF93" s="8"/>
      <c r="AG93" s="45"/>
      <c r="AH93" s="4"/>
      <c r="AI93" s="66"/>
      <c r="AJ93" s="176"/>
      <c r="AK93" s="176"/>
      <c r="AL93" s="176"/>
      <c r="AM93" s="176"/>
      <c r="AN93" s="176"/>
      <c r="AO93" s="176"/>
      <c r="AP93" s="176"/>
      <c r="AQ93" s="176"/>
      <c r="AR93" s="176"/>
      <c r="AX93" s="17"/>
      <c r="AY93" s="8"/>
      <c r="BB93" s="4"/>
      <c r="BC93" s="4"/>
      <c r="BD93" s="22"/>
    </row>
    <row r="94" spans="2:56" ht="15.75" customHeight="1" thickBot="1">
      <c r="B94" s="237"/>
      <c r="C94" s="1347" t="s">
        <v>957</v>
      </c>
      <c r="D94" s="2323"/>
      <c r="E94" s="2421">
        <f>(E92*100/E97)-10</f>
        <v>-1.6399999999999988</v>
      </c>
      <c r="F94" s="586">
        <f>(F92*100/F97)-10</f>
        <v>-0.24565217391304373</v>
      </c>
      <c r="G94" s="586">
        <f>(G92*100/G97)-10</f>
        <v>0.36370757180156588</v>
      </c>
      <c r="H94" s="2487">
        <f>(H92*100/H97)-10</f>
        <v>-8.6985294117646106E-2</v>
      </c>
      <c r="I94" s="2324"/>
      <c r="J94" s="2325"/>
      <c r="P94" s="32"/>
      <c r="Q94" s="4"/>
      <c r="R94" s="9"/>
      <c r="S94" s="44"/>
      <c r="T94" s="44"/>
      <c r="U94" s="44"/>
      <c r="V94" s="111"/>
      <c r="W94" s="222"/>
      <c r="X94" s="152"/>
      <c r="Y94" s="152"/>
      <c r="Z94" s="152"/>
      <c r="AA94" s="152"/>
      <c r="AB94" s="152"/>
      <c r="AC94" s="152"/>
      <c r="AD94" s="152"/>
      <c r="AE94" s="153"/>
      <c r="AF94" s="32"/>
      <c r="AG94" s="377"/>
      <c r="AH94" s="4"/>
      <c r="AI94" s="9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X94" s="8"/>
      <c r="AY94" s="8"/>
      <c r="BB94" s="13"/>
      <c r="BC94" s="13"/>
      <c r="BD94" s="22"/>
    </row>
    <row r="95" spans="2:56" ht="16.5" customHeight="1" thickBot="1">
      <c r="E95" s="194"/>
      <c r="F95" s="194"/>
      <c r="G95" s="194"/>
      <c r="H95" s="194"/>
      <c r="P95"/>
      <c r="Y95" s="44"/>
      <c r="Z95" s="44"/>
      <c r="AA95" s="44"/>
      <c r="AB95" s="44"/>
      <c r="AC95" s="44"/>
      <c r="AD95" s="44"/>
      <c r="AE95" s="153"/>
      <c r="AF95" s="32"/>
      <c r="AG95" s="153"/>
      <c r="AH95" s="153"/>
      <c r="AI95" s="153"/>
      <c r="AJ95" s="111"/>
      <c r="AK95" s="153"/>
      <c r="AL95" s="153"/>
      <c r="AM95" s="153"/>
      <c r="AN95" s="153"/>
      <c r="AO95" s="153"/>
      <c r="AP95" s="153"/>
      <c r="AQ95" s="153"/>
      <c r="AR95" s="153"/>
      <c r="AS95" s="153"/>
      <c r="AX95" s="8"/>
      <c r="AY95" s="8"/>
      <c r="BB95" s="13"/>
      <c r="BC95" s="13"/>
      <c r="BD95" s="22"/>
    </row>
    <row r="96" spans="2:56" ht="17.25" customHeight="1">
      <c r="B96" s="2331"/>
      <c r="C96" s="2332"/>
      <c r="D96" s="2333"/>
      <c r="E96" s="2489" t="s">
        <v>6</v>
      </c>
      <c r="F96" s="2490" t="s">
        <v>7</v>
      </c>
      <c r="G96" s="2490" t="s">
        <v>8</v>
      </c>
      <c r="H96" s="2491" t="s">
        <v>958</v>
      </c>
      <c r="I96" s="2334"/>
      <c r="J96" s="2333"/>
      <c r="Z96" s="44"/>
      <c r="AA96" s="44"/>
      <c r="AB96" s="44"/>
      <c r="AC96" s="44"/>
      <c r="AD96" s="44"/>
      <c r="AE96" s="153"/>
      <c r="AF96" s="32"/>
      <c r="AX96" s="8"/>
      <c r="AY96" s="8"/>
      <c r="BB96" s="21"/>
      <c r="BC96" s="13"/>
      <c r="BD96" s="22"/>
    </row>
    <row r="97" spans="2:58" ht="14.25" customHeight="1" thickBot="1">
      <c r="B97" s="2335"/>
      <c r="C97" s="2336" t="s">
        <v>959</v>
      </c>
      <c r="D97" s="2337">
        <v>1</v>
      </c>
      <c r="E97" s="2492">
        <v>90</v>
      </c>
      <c r="F97" s="2493">
        <v>92</v>
      </c>
      <c r="G97" s="2494">
        <v>383</v>
      </c>
      <c r="H97" s="2495">
        <v>2720</v>
      </c>
      <c r="I97" s="2338" t="s">
        <v>960</v>
      </c>
      <c r="J97" s="2339"/>
      <c r="K97" s="22"/>
      <c r="Q97" s="4"/>
      <c r="R97" s="1"/>
      <c r="S97" s="46"/>
      <c r="T97" s="46"/>
      <c r="U97" s="46"/>
      <c r="V97" s="204"/>
      <c r="W97" s="46"/>
      <c r="X97" s="46"/>
      <c r="Y97" s="46"/>
      <c r="Z97" s="46"/>
      <c r="AA97" s="46"/>
      <c r="AB97" s="214"/>
      <c r="AC97" s="46"/>
      <c r="AD97" s="46"/>
      <c r="AE97" s="66"/>
      <c r="AF97" s="30"/>
      <c r="AJ97" s="20"/>
      <c r="AK97" s="363"/>
      <c r="AM97" s="20"/>
      <c r="AN97" s="20"/>
      <c r="AP97" s="43"/>
      <c r="AT97" s="17"/>
      <c r="AX97" s="8"/>
      <c r="AY97" s="8"/>
      <c r="BB97" s="13"/>
      <c r="BC97" s="13"/>
      <c r="BD97" s="22"/>
    </row>
    <row r="98" spans="2:58" ht="14.25" customHeight="1">
      <c r="E98" s="194"/>
      <c r="F98" s="194"/>
      <c r="G98" s="194"/>
      <c r="H98" s="194"/>
      <c r="K98" s="1029"/>
      <c r="Q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T98" s="17"/>
      <c r="AX98" s="8"/>
      <c r="AY98" s="8"/>
      <c r="BB98" s="13"/>
      <c r="BC98" s="13"/>
      <c r="BD98" s="22"/>
    </row>
    <row r="99" spans="2:58" ht="13.5" customHeight="1" thickBot="1">
      <c r="E99" s="194"/>
      <c r="F99" s="194"/>
      <c r="G99" s="194"/>
      <c r="H99" s="194"/>
      <c r="I99" s="210"/>
      <c r="J99" s="169"/>
      <c r="Q99" s="9"/>
      <c r="R99" s="150"/>
      <c r="S99" s="44"/>
      <c r="T99" s="44"/>
      <c r="U99" s="44"/>
      <c r="V99" s="111"/>
      <c r="W99" s="383"/>
      <c r="X99" s="383"/>
      <c r="Y99" s="383"/>
      <c r="Z99" s="383"/>
      <c r="AA99" s="44"/>
      <c r="AB99" s="223"/>
      <c r="AC99" s="44"/>
      <c r="AD99" s="44"/>
      <c r="AE99" s="119"/>
      <c r="AF99" s="118"/>
      <c r="AJ99" s="20"/>
      <c r="AK99" s="20"/>
      <c r="AM99" s="20"/>
      <c r="AN99" s="20"/>
      <c r="AP99" s="4"/>
      <c r="AT99" s="8"/>
      <c r="AX99" s="14"/>
      <c r="AY99" s="14"/>
      <c r="BB99" s="13"/>
      <c r="BC99" s="13"/>
      <c r="BD99" s="732"/>
    </row>
    <row r="100" spans="2:58" ht="15" customHeight="1">
      <c r="B100" s="1021"/>
      <c r="C100" s="34" t="s">
        <v>481</v>
      </c>
      <c r="D100" s="35"/>
      <c r="E100" s="145">
        <f>E74+E85</f>
        <v>57.736600000000003</v>
      </c>
      <c r="F100" s="243">
        <f>F74+F85</f>
        <v>55.789000000000001</v>
      </c>
      <c r="G100" s="243">
        <f>G74+G85</f>
        <v>228.5984</v>
      </c>
      <c r="H100" s="1024">
        <f>H74+H85</f>
        <v>1632.9100000000003</v>
      </c>
      <c r="I100" s="1023" t="s">
        <v>482</v>
      </c>
      <c r="J100" s="1020" t="s">
        <v>280</v>
      </c>
      <c r="L100"/>
      <c r="M100" s="40"/>
      <c r="N100"/>
      <c r="Q100" s="699"/>
      <c r="R100" s="9"/>
      <c r="S100" s="44"/>
      <c r="T100" s="44"/>
      <c r="U100" s="44"/>
      <c r="V100" s="111"/>
      <c r="W100" s="44"/>
      <c r="X100" s="44"/>
      <c r="Y100" s="44"/>
      <c r="Z100" s="44"/>
      <c r="AA100" s="44"/>
      <c r="AB100" s="44"/>
      <c r="AC100" s="44"/>
      <c r="AD100" s="44"/>
      <c r="AE100" s="119"/>
      <c r="AF100" s="117"/>
      <c r="AG100" s="364"/>
      <c r="AH100" s="365"/>
      <c r="AI100" s="366"/>
      <c r="AJ100" s="367"/>
      <c r="AK100" s="42"/>
      <c r="AL100" s="42"/>
      <c r="AM100" s="42"/>
      <c r="AN100" s="42"/>
      <c r="AO100" s="42"/>
      <c r="AP100" s="42"/>
      <c r="AQ100" s="364"/>
      <c r="AR100" s="364"/>
      <c r="AS100" s="698"/>
      <c r="AT100" s="46"/>
      <c r="AX100" s="14"/>
      <c r="AY100" s="14"/>
      <c r="BB100" s="13"/>
      <c r="BC100" s="13"/>
      <c r="BD100" s="22"/>
    </row>
    <row r="101" spans="2:58" ht="15" customHeight="1">
      <c r="B101" s="513"/>
      <c r="C101" s="2322" t="s">
        <v>12</v>
      </c>
      <c r="D101" s="2320">
        <v>0.6</v>
      </c>
      <c r="E101" s="2340">
        <v>54</v>
      </c>
      <c r="F101" s="2341">
        <v>55.2</v>
      </c>
      <c r="G101" s="2341">
        <v>229.8</v>
      </c>
      <c r="H101" s="2342">
        <v>1632</v>
      </c>
      <c r="I101" s="2343">
        <f>H101-H100</f>
        <v>-0.91000000000030923</v>
      </c>
      <c r="J101" s="2314" t="s">
        <v>938</v>
      </c>
      <c r="L101"/>
      <c r="M101" s="40"/>
      <c r="N101"/>
      <c r="Q101" s="4"/>
      <c r="R101" s="9"/>
      <c r="S101" s="152"/>
      <c r="T101" s="152"/>
      <c r="U101" s="222"/>
      <c r="V101" s="111"/>
      <c r="W101" s="383"/>
      <c r="X101" s="383"/>
      <c r="Y101" s="383"/>
      <c r="Z101" s="383"/>
      <c r="AA101" s="44"/>
      <c r="AB101" s="223"/>
      <c r="AC101" s="44"/>
      <c r="AD101" s="44"/>
      <c r="AE101" s="430"/>
      <c r="AF101" s="32"/>
      <c r="AG101" s="49"/>
      <c r="AH101" s="49"/>
      <c r="AI101" s="49"/>
      <c r="AJ101" s="368"/>
      <c r="AK101" s="49"/>
      <c r="AL101" s="49"/>
      <c r="AM101" s="49"/>
      <c r="AN101" s="49"/>
      <c r="AO101" s="49"/>
      <c r="AP101" s="49"/>
      <c r="AQ101" s="49"/>
      <c r="AR101" s="49"/>
      <c r="AS101" s="49"/>
      <c r="AT101" s="8"/>
      <c r="AX101" s="8"/>
      <c r="AY101" s="8"/>
      <c r="BB101" s="13"/>
      <c r="BC101" s="13"/>
      <c r="BD101" s="22"/>
    </row>
    <row r="102" spans="2:58" ht="13.5" customHeight="1" thickBot="1">
      <c r="B102" s="237"/>
      <c r="C102" s="1347" t="s">
        <v>957</v>
      </c>
      <c r="D102" s="2323"/>
      <c r="E102" s="2421">
        <f>(E100*100/E97)-60</f>
        <v>4.1517777777777809</v>
      </c>
      <c r="F102" s="586">
        <f>(F100*100/F97)-60</f>
        <v>0.64021739130435407</v>
      </c>
      <c r="G102" s="586">
        <f>(G100*100/G97)-60</f>
        <v>-0.3137336814621392</v>
      </c>
      <c r="H102" s="2487">
        <f>(H100*100/H97)-60</f>
        <v>3.3455882352953381E-2</v>
      </c>
      <c r="I102" s="2324"/>
      <c r="J102" s="2325"/>
      <c r="Q102" s="4"/>
      <c r="R102" s="9"/>
      <c r="S102" s="152"/>
      <c r="T102" s="152"/>
      <c r="U102" s="222"/>
      <c r="V102" s="111"/>
      <c r="W102" s="383"/>
      <c r="X102" s="383"/>
      <c r="Y102" s="383"/>
      <c r="Z102" s="383"/>
      <c r="AA102" s="44"/>
      <c r="AB102" s="223"/>
      <c r="AC102" s="44"/>
      <c r="AD102" s="44"/>
      <c r="AE102" s="430"/>
      <c r="AF102" s="32"/>
      <c r="AG102" s="153"/>
      <c r="AH102" s="430"/>
      <c r="AI102" s="153"/>
      <c r="AJ102" s="111"/>
      <c r="AK102" s="153"/>
      <c r="AL102" s="153"/>
      <c r="AM102" s="430"/>
      <c r="AN102" s="430"/>
      <c r="AO102" s="153"/>
      <c r="AP102" s="147"/>
      <c r="AQ102" s="153"/>
      <c r="AR102" s="153"/>
      <c r="AS102" s="153"/>
      <c r="AX102" s="14"/>
      <c r="AY102" s="14"/>
      <c r="BB102" s="13"/>
      <c r="BC102" s="13"/>
      <c r="BD102" s="22"/>
    </row>
    <row r="103" spans="2:58" ht="17.25" customHeight="1" thickBot="1">
      <c r="E103" s="194"/>
      <c r="F103" s="194"/>
      <c r="G103" s="194"/>
      <c r="H103" s="194"/>
      <c r="Q103" s="4"/>
      <c r="R103" s="9"/>
      <c r="S103" s="44"/>
      <c r="T103" s="44"/>
      <c r="U103" s="44"/>
      <c r="V103" s="111"/>
      <c r="W103" s="44"/>
      <c r="X103" s="44"/>
      <c r="Y103" s="44"/>
      <c r="Z103" s="44"/>
      <c r="AA103" s="44"/>
      <c r="AB103" s="44"/>
      <c r="AC103" s="44"/>
      <c r="AD103" s="44"/>
      <c r="AE103" s="153"/>
      <c r="AF103" s="32"/>
      <c r="AG103" s="705"/>
      <c r="AH103" s="705"/>
      <c r="AI103" s="705"/>
      <c r="AJ103" s="705"/>
      <c r="AK103" s="705"/>
      <c r="AL103" s="705"/>
      <c r="AM103" s="706"/>
      <c r="AN103" s="705"/>
      <c r="AO103" s="706"/>
      <c r="AP103" s="706"/>
      <c r="AQ103" s="705"/>
      <c r="AR103" s="705"/>
      <c r="AS103" s="705"/>
      <c r="AT103" s="8"/>
      <c r="AX103" s="8"/>
      <c r="AY103" s="8"/>
      <c r="BB103" s="343"/>
      <c r="BC103" s="13"/>
      <c r="BD103" s="22"/>
    </row>
    <row r="104" spans="2:58" ht="17.25" customHeight="1">
      <c r="B104" s="1021"/>
      <c r="C104" s="34" t="s">
        <v>480</v>
      </c>
      <c r="D104" s="35"/>
      <c r="E104" s="145">
        <f>E85+E92</f>
        <v>43.063600000000001</v>
      </c>
      <c r="F104" s="243">
        <f>F85+F92</f>
        <v>41.575000000000003</v>
      </c>
      <c r="G104" s="243">
        <f>G85+G92</f>
        <v>172.46339999999998</v>
      </c>
      <c r="H104" s="1024">
        <f>H85+H92</f>
        <v>1219.0220000000002</v>
      </c>
      <c r="I104" s="1273" t="s">
        <v>482</v>
      </c>
      <c r="J104" s="1020" t="s">
        <v>280</v>
      </c>
      <c r="L104"/>
      <c r="M104" s="40"/>
      <c r="N104"/>
      <c r="Q104" s="4"/>
      <c r="R104" s="9"/>
      <c r="S104" s="44"/>
      <c r="T104" s="44"/>
      <c r="U104" s="44"/>
      <c r="V104" s="111"/>
      <c r="W104" s="44"/>
      <c r="X104" s="44"/>
      <c r="Y104" s="44"/>
      <c r="Z104" s="44"/>
      <c r="AA104" s="44"/>
      <c r="AB104" s="44"/>
      <c r="AC104" s="44"/>
      <c r="AD104" s="44"/>
      <c r="AE104" s="153"/>
      <c r="AF104" s="32"/>
      <c r="AT104" s="8"/>
      <c r="AX104" s="8"/>
      <c r="AY104" s="8"/>
      <c r="BB104" s="13"/>
      <c r="BC104" s="13"/>
      <c r="BD104" s="22"/>
    </row>
    <row r="105" spans="2:58" ht="18" customHeight="1">
      <c r="B105" s="513"/>
      <c r="C105" s="2322" t="s">
        <v>12</v>
      </c>
      <c r="D105" s="2320">
        <v>0.45</v>
      </c>
      <c r="E105" s="2326">
        <v>40.5</v>
      </c>
      <c r="F105" s="2327">
        <v>41.4</v>
      </c>
      <c r="G105" s="2327">
        <v>172.35</v>
      </c>
      <c r="H105" s="2328">
        <v>1224</v>
      </c>
      <c r="I105" s="2344">
        <f>H105-H104</f>
        <v>4.9779999999998381</v>
      </c>
      <c r="J105" s="2314" t="s">
        <v>938</v>
      </c>
      <c r="L105"/>
      <c r="M105" s="40"/>
      <c r="N105"/>
      <c r="Q105" s="4"/>
      <c r="R105" s="9"/>
      <c r="S105" s="44"/>
      <c r="T105" s="44"/>
      <c r="U105" s="44"/>
      <c r="V105" s="111"/>
      <c r="W105" s="44"/>
      <c r="X105" s="44"/>
      <c r="Y105" s="44"/>
      <c r="Z105" s="44"/>
      <c r="AA105" s="44"/>
      <c r="AB105" s="44"/>
      <c r="AC105" s="44"/>
      <c r="AD105" s="44"/>
      <c r="AE105" s="153"/>
      <c r="AF105" s="33"/>
      <c r="AP105" s="43"/>
      <c r="AR105" s="43"/>
      <c r="AT105" s="8"/>
      <c r="AX105" s="8"/>
      <c r="AY105" s="8"/>
      <c r="BB105" s="13"/>
      <c r="BC105" s="13"/>
      <c r="BD105" s="22"/>
    </row>
    <row r="106" spans="2:58" ht="15.75" customHeight="1" thickBot="1">
      <c r="B106" s="237"/>
      <c r="C106" s="1347" t="s">
        <v>957</v>
      </c>
      <c r="D106" s="2323"/>
      <c r="E106" s="2421">
        <f>(E104*100/E97)-45</f>
        <v>2.8484444444444392</v>
      </c>
      <c r="F106" s="586">
        <f>(F104*100/F97)-45</f>
        <v>0.19021739130435122</v>
      </c>
      <c r="G106" s="586">
        <f>(G104*100/G97)-45</f>
        <v>2.9608355091376382E-2</v>
      </c>
      <c r="H106" s="2487">
        <f>(H104*100/H97)-45</f>
        <v>-0.18301470588234992</v>
      </c>
      <c r="I106" s="2324"/>
      <c r="J106" s="2325"/>
      <c r="L106"/>
      <c r="M106" s="40"/>
      <c r="N106"/>
      <c r="Q106" s="4"/>
      <c r="R106" s="9"/>
      <c r="S106" s="44"/>
      <c r="T106" s="152"/>
      <c r="U106" s="44"/>
      <c r="V106" s="111"/>
      <c r="W106" s="44"/>
      <c r="X106" s="44"/>
      <c r="Y106" s="44"/>
      <c r="Z106" s="44"/>
      <c r="AA106" s="44"/>
      <c r="AB106" s="44"/>
      <c r="AC106" s="223"/>
      <c r="AD106" s="44"/>
      <c r="AE106" s="153"/>
      <c r="AF106" s="44"/>
      <c r="AJ106" s="707"/>
      <c r="AR106" s="43"/>
      <c r="AT106" s="8"/>
      <c r="AX106" s="8"/>
      <c r="AY106" s="8"/>
      <c r="BB106" s="13"/>
      <c r="BC106" s="13"/>
      <c r="BD106" s="22"/>
    </row>
    <row r="107" spans="2:58" ht="12.75" customHeight="1" thickBot="1">
      <c r="E107" s="194"/>
      <c r="F107" s="194"/>
      <c r="G107" s="194"/>
      <c r="H107" s="194"/>
      <c r="L107"/>
      <c r="M107" s="40"/>
      <c r="N107"/>
      <c r="Q107" s="699"/>
      <c r="R107" s="1"/>
      <c r="S107" s="46"/>
      <c r="T107" s="46"/>
      <c r="U107" s="46"/>
      <c r="V107" s="204"/>
      <c r="W107" s="46"/>
      <c r="X107" s="46"/>
      <c r="Y107" s="46"/>
      <c r="Z107" s="46"/>
      <c r="AA107" s="46"/>
      <c r="AB107" s="214"/>
      <c r="AC107" s="46"/>
      <c r="AD107" s="46"/>
      <c r="AE107" s="48"/>
      <c r="AF107" s="44"/>
      <c r="AG107" s="32"/>
      <c r="AH107" s="4"/>
      <c r="AI107" s="9"/>
      <c r="AJ107" s="44"/>
      <c r="AK107" s="44"/>
      <c r="AL107" s="44"/>
      <c r="AM107" s="111"/>
      <c r="AN107" s="44"/>
      <c r="AO107" s="44"/>
      <c r="AP107" s="44"/>
      <c r="AQ107" s="44"/>
      <c r="AR107" s="44"/>
      <c r="AS107" s="44"/>
      <c r="AT107" s="44"/>
      <c r="AU107" s="44"/>
      <c r="AV107" s="153"/>
    </row>
    <row r="108" spans="2:58" ht="16.5" customHeight="1">
      <c r="B108" s="1021"/>
      <c r="C108" s="34" t="s">
        <v>358</v>
      </c>
      <c r="D108" s="35"/>
      <c r="E108" s="145">
        <f>E74+E85+E92</f>
        <v>65.260600000000011</v>
      </c>
      <c r="F108" s="243">
        <f>F74+F85+F92</f>
        <v>64.763000000000005</v>
      </c>
      <c r="G108" s="243">
        <f>G74+G85+G92</f>
        <v>268.29140000000001</v>
      </c>
      <c r="H108" s="1024">
        <f>H74+H85+H92</f>
        <v>1902.5440000000003</v>
      </c>
      <c r="I108" s="1273" t="s">
        <v>482</v>
      </c>
      <c r="J108" s="1020" t="s">
        <v>280</v>
      </c>
      <c r="L108"/>
      <c r="M108" s="40"/>
      <c r="N108"/>
      <c r="Q108" s="433"/>
      <c r="R108" s="8"/>
      <c r="S108" s="702"/>
      <c r="T108" s="702"/>
      <c r="U108" s="702"/>
      <c r="V108" s="702"/>
      <c r="W108" s="702"/>
      <c r="X108" s="702"/>
      <c r="Y108" s="703"/>
      <c r="Z108" s="702"/>
      <c r="AA108" s="703"/>
      <c r="AB108" s="703"/>
      <c r="AC108" s="702"/>
      <c r="AD108" s="702"/>
      <c r="AE108" s="702"/>
      <c r="AG108" s="32"/>
      <c r="AH108" s="382"/>
      <c r="AI108" s="9"/>
      <c r="AJ108" s="44"/>
      <c r="AK108" s="44"/>
      <c r="AL108" s="44"/>
      <c r="AM108" s="111"/>
      <c r="AN108" s="383"/>
      <c r="AO108" s="383"/>
      <c r="AP108" s="383"/>
      <c r="AQ108" s="383"/>
      <c r="AR108" s="44"/>
      <c r="AS108" s="223"/>
      <c r="AT108" s="44"/>
      <c r="AU108" s="44"/>
      <c r="AV108" s="119"/>
    </row>
    <row r="109" spans="2:58" ht="12.75" customHeight="1">
      <c r="B109" s="513"/>
      <c r="C109" s="2322" t="s">
        <v>12</v>
      </c>
      <c r="D109" s="2320">
        <v>0.7</v>
      </c>
      <c r="E109" s="2326">
        <v>63</v>
      </c>
      <c r="F109" s="2327">
        <v>64.400000000000006</v>
      </c>
      <c r="G109" s="2327">
        <v>268.10000000000002</v>
      </c>
      <c r="H109" s="2328">
        <v>1904</v>
      </c>
      <c r="I109" s="2344">
        <f>H109-H108</f>
        <v>1.4559999999996762</v>
      </c>
      <c r="J109" s="2314" t="s">
        <v>938</v>
      </c>
      <c r="L109"/>
      <c r="M109" s="40"/>
      <c r="N109"/>
      <c r="Q109" s="436"/>
      <c r="S109" s="437"/>
      <c r="T109" s="437"/>
      <c r="U109" s="437"/>
      <c r="V109" s="437"/>
      <c r="W109" s="704"/>
      <c r="X109" s="437"/>
      <c r="Y109" s="437"/>
      <c r="Z109" s="437"/>
      <c r="AA109" s="432"/>
      <c r="AB109" s="432"/>
      <c r="AC109" s="437"/>
      <c r="AD109" s="437"/>
      <c r="AE109" s="438"/>
      <c r="AF109" s="8"/>
      <c r="AG109" s="63"/>
      <c r="AH109" s="4"/>
      <c r="AI109" s="150"/>
      <c r="AJ109" s="44"/>
      <c r="AK109" s="44"/>
      <c r="AL109" s="44"/>
      <c r="AM109" s="111"/>
      <c r="AN109" s="383"/>
      <c r="AO109" s="383"/>
      <c r="AP109" s="383"/>
      <c r="AQ109" s="383"/>
      <c r="AR109" s="44"/>
      <c r="AS109" s="223"/>
      <c r="AT109" s="44"/>
      <c r="AU109" s="44"/>
      <c r="AV109" s="119"/>
    </row>
    <row r="110" spans="2:58" ht="14.25" customHeight="1" thickBot="1">
      <c r="B110" s="237"/>
      <c r="C110" s="1347" t="s">
        <v>957</v>
      </c>
      <c r="D110" s="2323"/>
      <c r="E110" s="2421">
        <f>(E108*100/E97)-70</f>
        <v>2.5117777777777945</v>
      </c>
      <c r="F110" s="586">
        <f>(F108*100/F97)-70</f>
        <v>0.39456521739130324</v>
      </c>
      <c r="G110" s="586">
        <f>(G108*100/G97)-70</f>
        <v>4.9973890339430227E-2</v>
      </c>
      <c r="H110" s="2487">
        <f>(H108*100/H97)-70</f>
        <v>-5.352941176469983E-2</v>
      </c>
      <c r="I110" s="2324"/>
      <c r="J110" s="2325"/>
      <c r="L110"/>
      <c r="M110" s="40"/>
      <c r="N1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F110" s="21"/>
      <c r="AG110" s="1"/>
      <c r="AH110" s="40"/>
      <c r="AL110" s="18"/>
      <c r="AR110" s="1"/>
    </row>
    <row r="111" spans="2:58" ht="15" customHeight="1">
      <c r="L111"/>
      <c r="M111" s="40"/>
      <c r="N11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F111" s="30"/>
      <c r="AG111" s="2"/>
      <c r="AH111" s="40"/>
      <c r="AJ111" s="1"/>
      <c r="AK111" s="1"/>
      <c r="AL111" s="19"/>
      <c r="AM111" s="19"/>
      <c r="AN111" s="13"/>
      <c r="AO111" s="13"/>
      <c r="AP111" s="13"/>
      <c r="AQ111" s="13"/>
      <c r="AS111" s="32"/>
      <c r="AX111" s="113"/>
      <c r="AY111" s="8"/>
      <c r="AZ111" s="8"/>
      <c r="BA111" s="8"/>
      <c r="BB111" s="8"/>
      <c r="BC111" s="8"/>
      <c r="BD111" s="8"/>
      <c r="BE111" s="8"/>
      <c r="BF111" s="8"/>
    </row>
    <row r="112" spans="2:58" ht="14.25" customHeight="1">
      <c r="L112"/>
      <c r="M112" s="40"/>
      <c r="N11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F112" s="32"/>
      <c r="AG112" s="32"/>
      <c r="AH112" s="4"/>
      <c r="AI112" s="8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56" ht="19.5" customHeight="1">
      <c r="D113" s="5" t="s">
        <v>286</v>
      </c>
      <c r="L113"/>
      <c r="M113" s="40"/>
      <c r="N11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F113" s="9"/>
      <c r="AG113" s="32"/>
      <c r="AI113" s="8"/>
      <c r="AJ113" s="708"/>
      <c r="AK113" s="708"/>
      <c r="AL113" s="708"/>
      <c r="AM113" s="708"/>
      <c r="AN113" s="708"/>
      <c r="AO113" s="708"/>
      <c r="AP113" s="708"/>
      <c r="AQ113" s="708"/>
      <c r="AR113" s="708"/>
      <c r="AS113" s="708"/>
      <c r="AX113" s="8"/>
      <c r="AY113" s="8"/>
    </row>
    <row r="114" spans="2:56" ht="16.5" customHeight="1">
      <c r="B114" s="19" t="s">
        <v>956</v>
      </c>
      <c r="D114"/>
      <c r="E114"/>
      <c r="I114"/>
      <c r="J114"/>
      <c r="L114"/>
      <c r="M114" s="40"/>
      <c r="N11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F114" s="44"/>
      <c r="AG114" s="39"/>
      <c r="AJ114" s="13"/>
      <c r="AK114" s="13"/>
      <c r="AL114" s="13"/>
    </row>
    <row r="115" spans="2:56" ht="21.75" customHeight="1">
      <c r="C115" s="19" t="s">
        <v>282</v>
      </c>
      <c r="E115"/>
      <c r="F115"/>
      <c r="G115" s="19"/>
      <c r="H115" s="19"/>
      <c r="I115" s="13"/>
      <c r="J115" s="13"/>
      <c r="L115"/>
      <c r="M115" s="40"/>
      <c r="N115"/>
      <c r="Q115" s="171"/>
      <c r="U115" s="1"/>
      <c r="V115" s="1"/>
      <c r="AF115" s="44"/>
      <c r="AH115" s="169"/>
    </row>
    <row r="116" spans="2:56" ht="17.25" customHeight="1">
      <c r="B116" s="20" t="s">
        <v>510</v>
      </c>
      <c r="C116" s="13"/>
      <c r="D116"/>
      <c r="E116" s="20" t="s">
        <v>0</v>
      </c>
      <c r="F116"/>
      <c r="G116" s="2" t="s">
        <v>317</v>
      </c>
      <c r="H116" s="13"/>
      <c r="I116" s="13"/>
      <c r="J116" s="24"/>
      <c r="P116" s="32"/>
      <c r="R116" s="19"/>
      <c r="U116" s="19"/>
      <c r="V116" s="19"/>
      <c r="W116" s="13"/>
      <c r="X116" s="13"/>
      <c r="Y116" s="13"/>
      <c r="Z116" s="13"/>
      <c r="AF116" s="41"/>
      <c r="AG116" s="32"/>
      <c r="AH116" s="4"/>
      <c r="AI116" s="32"/>
    </row>
    <row r="117" spans="2:56" ht="18.75" customHeight="1">
      <c r="D117" s="23" t="s">
        <v>1</v>
      </c>
      <c r="P117" s="3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F117" s="8"/>
      <c r="AG117" s="63"/>
      <c r="AH117" s="4"/>
      <c r="AU117" s="1"/>
      <c r="AX117" s="1"/>
      <c r="AY117" s="1"/>
    </row>
    <row r="118" spans="2:56" ht="19.5" customHeight="1" thickBot="1">
      <c r="P118" s="32"/>
      <c r="Q118" s="13"/>
      <c r="V118" s="20"/>
      <c r="X118" s="2"/>
      <c r="Y118" s="13"/>
      <c r="Z118" s="13"/>
      <c r="AA118" s="13"/>
      <c r="AD118" s="24"/>
      <c r="AG118" s="45"/>
      <c r="AH118" s="4"/>
      <c r="AI118" s="8"/>
      <c r="AU118" s="1"/>
      <c r="AX118" s="1"/>
      <c r="AY118" s="1"/>
    </row>
    <row r="119" spans="2:56" ht="15" customHeight="1" thickBot="1">
      <c r="B119" s="524" t="s">
        <v>250</v>
      </c>
      <c r="C119" s="99"/>
      <c r="D119" s="525" t="s">
        <v>251</v>
      </c>
      <c r="E119" s="397" t="s">
        <v>252</v>
      </c>
      <c r="F119" s="397"/>
      <c r="G119" s="397"/>
      <c r="H119" s="526" t="s">
        <v>253</v>
      </c>
      <c r="I119" s="527" t="s">
        <v>254</v>
      </c>
      <c r="J119" s="528" t="s">
        <v>255</v>
      </c>
      <c r="P119" s="45"/>
      <c r="R119" s="13"/>
      <c r="U119" s="23"/>
      <c r="V119" s="19"/>
      <c r="W119" s="13"/>
      <c r="X119" s="13"/>
      <c r="Y119" s="13"/>
      <c r="Z119" s="13"/>
      <c r="AB119" s="18"/>
      <c r="AD119" s="2"/>
      <c r="AG119" s="32"/>
      <c r="AH119" s="4"/>
      <c r="AI119" s="8"/>
      <c r="AS119" s="18"/>
      <c r="AT119" s="1"/>
      <c r="AU119" s="1"/>
      <c r="AX119" s="1"/>
      <c r="AY119" s="1"/>
    </row>
    <row r="120" spans="2:56" ht="14.25" customHeight="1">
      <c r="B120" s="529" t="s">
        <v>256</v>
      </c>
      <c r="C120" s="530" t="s">
        <v>257</v>
      </c>
      <c r="D120" s="531" t="s">
        <v>258</v>
      </c>
      <c r="E120" s="532" t="s">
        <v>259</v>
      </c>
      <c r="F120" s="532" t="s">
        <v>63</v>
      </c>
      <c r="G120" s="532" t="s">
        <v>64</v>
      </c>
      <c r="H120" s="533" t="s">
        <v>260</v>
      </c>
      <c r="I120" s="534" t="s">
        <v>261</v>
      </c>
      <c r="J120" s="535" t="s">
        <v>262</v>
      </c>
      <c r="P120" s="3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G120" s="377"/>
      <c r="AH120" s="4"/>
      <c r="AI120" s="8"/>
      <c r="AR120" s="1"/>
      <c r="AS120" s="1"/>
      <c r="AT120" s="1"/>
      <c r="AU120" s="1"/>
      <c r="AY120" s="2"/>
    </row>
    <row r="121" spans="2:56" ht="14.25" customHeight="1" thickBot="1">
      <c r="B121" s="536"/>
      <c r="C121" s="579"/>
      <c r="D121" s="537"/>
      <c r="E121" s="538" t="s">
        <v>6</v>
      </c>
      <c r="F121" s="538" t="s">
        <v>7</v>
      </c>
      <c r="G121" s="538" t="s">
        <v>8</v>
      </c>
      <c r="H121" s="539" t="s">
        <v>263</v>
      </c>
      <c r="I121" s="540" t="s">
        <v>264</v>
      </c>
      <c r="J121" s="541" t="s">
        <v>265</v>
      </c>
      <c r="P121" s="4"/>
      <c r="Q121" s="70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G121" s="63"/>
      <c r="AH121" s="169"/>
      <c r="AU121" s="117"/>
      <c r="AW121" s="40"/>
      <c r="AX121" s="14"/>
      <c r="AY121" s="14"/>
    </row>
    <row r="122" spans="2:56" ht="21">
      <c r="B122" s="99"/>
      <c r="C122" s="774" t="s">
        <v>199</v>
      </c>
      <c r="D122" s="543"/>
      <c r="E122" s="544"/>
      <c r="F122" s="545"/>
      <c r="G122" s="545"/>
      <c r="H122" s="775"/>
      <c r="I122" s="587"/>
      <c r="J122" s="548"/>
      <c r="P122"/>
      <c r="U122" s="710"/>
      <c r="AE122" s="32"/>
      <c r="AG122" s="63"/>
      <c r="AH122" s="4"/>
      <c r="AI122" s="116"/>
      <c r="AJ122" s="17"/>
      <c r="AK122" s="296"/>
      <c r="AL122" s="8"/>
      <c r="AM122" s="711"/>
      <c r="AN122" s="8"/>
      <c r="AO122" s="8"/>
      <c r="AP122" s="8"/>
      <c r="AQ122" s="8"/>
      <c r="AR122" s="8"/>
      <c r="AS122" s="8"/>
      <c r="AU122" s="32"/>
      <c r="AV122" s="4"/>
      <c r="AW122" s="8"/>
      <c r="AX122" s="14"/>
      <c r="AY122" s="14"/>
      <c r="BB122" s="12"/>
      <c r="BC122" s="13"/>
      <c r="BD122" s="22"/>
    </row>
    <row r="123" spans="2:56">
      <c r="B123" s="550" t="s">
        <v>266</v>
      </c>
      <c r="C123" s="560" t="s">
        <v>375</v>
      </c>
      <c r="D123" s="561">
        <v>65</v>
      </c>
      <c r="E123" s="2392">
        <v>0.76</v>
      </c>
      <c r="F123" s="380">
        <v>0.11</v>
      </c>
      <c r="G123" s="380">
        <v>2.4900000000000002</v>
      </c>
      <c r="H123" s="1384">
        <v>13.86</v>
      </c>
      <c r="I123" s="557">
        <v>2</v>
      </c>
      <c r="J123" s="644" t="s">
        <v>645</v>
      </c>
      <c r="P123"/>
      <c r="Q123" s="9"/>
      <c r="R123" s="9"/>
      <c r="S123" s="4"/>
      <c r="T123" s="4"/>
      <c r="U123" s="4"/>
      <c r="V123" s="8"/>
      <c r="W123" s="8"/>
      <c r="X123" s="17"/>
      <c r="Y123" s="4"/>
      <c r="Z123" s="4"/>
      <c r="AA123" s="8"/>
      <c r="AB123" s="4"/>
      <c r="AC123" s="4"/>
      <c r="AD123" s="4"/>
      <c r="AE123" s="13"/>
      <c r="AJ123" s="8"/>
      <c r="AK123" s="8"/>
      <c r="AL123" s="8"/>
      <c r="AM123" s="711"/>
      <c r="AN123" s="8"/>
      <c r="AO123" s="8"/>
      <c r="AP123" s="8"/>
      <c r="AQ123" s="8"/>
      <c r="AR123" s="8"/>
      <c r="AS123" s="8"/>
      <c r="AU123" s="32"/>
      <c r="AV123" s="62"/>
      <c r="AW123" s="62"/>
      <c r="AX123" s="14"/>
      <c r="AY123" s="14"/>
      <c r="BB123" s="13"/>
      <c r="BC123" s="13"/>
      <c r="BD123" s="22"/>
    </row>
    <row r="124" spans="2:56">
      <c r="B124" s="553" t="s">
        <v>267</v>
      </c>
      <c r="C124" s="560" t="s">
        <v>113</v>
      </c>
      <c r="D124" s="561">
        <v>210</v>
      </c>
      <c r="E124" s="2498">
        <v>15.917</v>
      </c>
      <c r="F124" s="1359">
        <v>22.01</v>
      </c>
      <c r="G124" s="1359">
        <v>33.781999999999996</v>
      </c>
      <c r="H124" s="1384">
        <v>396.88600000000002</v>
      </c>
      <c r="I124" s="580">
        <v>56</v>
      </c>
      <c r="J124" s="558" t="s">
        <v>17</v>
      </c>
      <c r="P124" s="63"/>
      <c r="Q124" s="48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22"/>
      <c r="AJ124" s="8"/>
      <c r="AK124" s="296"/>
      <c r="AL124" s="8"/>
      <c r="AM124" s="711"/>
      <c r="AN124" s="8"/>
      <c r="AO124" s="8"/>
      <c r="AP124" s="8"/>
      <c r="AQ124" s="8"/>
      <c r="AR124" s="8"/>
      <c r="AS124" s="8"/>
      <c r="AU124" s="32"/>
      <c r="AV124" s="4"/>
      <c r="AW124" s="8"/>
      <c r="AX124" s="8"/>
      <c r="AY124" s="8"/>
      <c r="BB124" s="13"/>
      <c r="BD124" s="22"/>
    </row>
    <row r="125" spans="2:56" ht="15.75">
      <c r="B125" s="555" t="s">
        <v>13</v>
      </c>
      <c r="C125" s="556" t="s">
        <v>219</v>
      </c>
      <c r="D125" s="561">
        <v>200</v>
      </c>
      <c r="E125" s="2392">
        <v>0.4</v>
      </c>
      <c r="F125" s="380">
        <v>0</v>
      </c>
      <c r="G125" s="380">
        <v>18.341999999999999</v>
      </c>
      <c r="H125" s="1384">
        <v>74.968000000000004</v>
      </c>
      <c r="I125" s="562">
        <v>77</v>
      </c>
      <c r="J125" s="549" t="s">
        <v>794</v>
      </c>
      <c r="P125" s="30"/>
      <c r="Q125" s="169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U125" s="32"/>
      <c r="AV125" s="4"/>
      <c r="AW125" s="8"/>
      <c r="AX125" s="8"/>
      <c r="AY125" s="8"/>
      <c r="BB125" s="13"/>
      <c r="BC125" s="13"/>
      <c r="BD125" s="22"/>
    </row>
    <row r="126" spans="2:56" ht="13.5" customHeight="1">
      <c r="B126" s="559" t="s">
        <v>270</v>
      </c>
      <c r="C126" s="560" t="s">
        <v>11</v>
      </c>
      <c r="D126" s="561">
        <v>60</v>
      </c>
      <c r="E126" s="2392">
        <v>3.16</v>
      </c>
      <c r="F126" s="380">
        <v>0.42</v>
      </c>
      <c r="G126" s="380">
        <v>24.48</v>
      </c>
      <c r="H126" s="1384">
        <v>114.34</v>
      </c>
      <c r="I126" s="562">
        <v>11</v>
      </c>
      <c r="J126" s="558" t="s">
        <v>10</v>
      </c>
      <c r="P126" s="32"/>
      <c r="Q126" s="4"/>
      <c r="R126" s="44"/>
      <c r="S126" s="44"/>
      <c r="T126" s="44"/>
      <c r="U126" s="44"/>
      <c r="V126" s="111"/>
      <c r="W126" s="44"/>
      <c r="X126" s="152"/>
      <c r="Y126" s="44"/>
      <c r="Z126" s="44"/>
      <c r="AA126" s="44"/>
      <c r="AB126" s="44"/>
      <c r="AC126" s="44"/>
      <c r="AD126" s="44"/>
      <c r="AE126" s="153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U126" s="32"/>
      <c r="AV126" s="4"/>
      <c r="AW126" s="8"/>
      <c r="AX126" s="8"/>
      <c r="AY126" s="8"/>
      <c r="BB126" s="4"/>
      <c r="BC126" s="4"/>
      <c r="BD126" s="9"/>
    </row>
    <row r="127" spans="2:56" ht="13.5" customHeight="1" thickBot="1">
      <c r="B127" s="559"/>
      <c r="C127" s="573" t="s">
        <v>792</v>
      </c>
      <c r="D127" s="574">
        <v>40</v>
      </c>
      <c r="E127" s="2392">
        <v>2.2599999999999998</v>
      </c>
      <c r="F127" s="380">
        <v>0.48</v>
      </c>
      <c r="G127" s="380">
        <v>16.739999999999998</v>
      </c>
      <c r="H127" s="1388">
        <v>80.319999999999993</v>
      </c>
      <c r="I127" s="589">
        <v>12</v>
      </c>
      <c r="J127" s="552" t="s">
        <v>10</v>
      </c>
      <c r="P127" s="45"/>
      <c r="Q127" s="4"/>
      <c r="R127" s="9"/>
      <c r="S127" s="44"/>
      <c r="T127" s="44"/>
      <c r="U127" s="44"/>
      <c r="V127" s="111"/>
      <c r="W127" s="44"/>
      <c r="X127" s="44"/>
      <c r="Y127" s="44"/>
      <c r="Z127" s="44"/>
      <c r="AA127" s="44"/>
      <c r="AB127" s="44"/>
      <c r="AC127" s="44"/>
      <c r="AD127" s="44"/>
      <c r="AE127" s="153"/>
      <c r="AJ127" s="708"/>
      <c r="AK127" s="708"/>
      <c r="AL127" s="708"/>
      <c r="AM127" s="708"/>
      <c r="AN127" s="708"/>
      <c r="AO127" s="708"/>
      <c r="AP127" s="708"/>
      <c r="AQ127" s="708"/>
      <c r="AR127" s="708"/>
      <c r="AS127" s="708"/>
      <c r="AU127" s="32"/>
      <c r="AV127" s="4"/>
      <c r="AW127" s="8"/>
      <c r="AX127" s="8"/>
      <c r="AY127" s="8"/>
      <c r="BB127" s="4"/>
      <c r="BC127" s="4"/>
      <c r="BD127" s="22"/>
    </row>
    <row r="128" spans="2:56" ht="12.75" customHeight="1">
      <c r="B128" s="565" t="s">
        <v>283</v>
      </c>
      <c r="D128" s="925">
        <f>SUM(D123:D127)</f>
        <v>575</v>
      </c>
      <c r="E128" s="566">
        <f>SUM(E123:E127)</f>
        <v>22.497</v>
      </c>
      <c r="F128" s="1353">
        <f>SUM(F123:F127)</f>
        <v>23.020000000000003</v>
      </c>
      <c r="G128" s="567">
        <f>SUM(G123:G127)</f>
        <v>95.833999999999989</v>
      </c>
      <c r="H128" s="2486">
        <f>SUM(H123:H127)</f>
        <v>680.37400000000002</v>
      </c>
      <c r="I128" s="1286" t="s">
        <v>482</v>
      </c>
      <c r="J128" s="1020" t="s">
        <v>280</v>
      </c>
      <c r="P128" s="32"/>
      <c r="X128" s="153"/>
      <c r="Y128" s="153"/>
      <c r="Z128" s="153"/>
      <c r="AA128" s="153"/>
      <c r="AB128" s="153"/>
      <c r="AC128" s="153"/>
      <c r="AD128" s="153"/>
      <c r="AE128" s="153"/>
      <c r="AF128" s="30"/>
      <c r="AG128" s="32"/>
      <c r="AH128" s="4"/>
      <c r="AI128" s="66"/>
      <c r="AJ128" s="44"/>
      <c r="AK128" s="44"/>
      <c r="AL128" s="152"/>
      <c r="AM128" s="111"/>
      <c r="AN128" s="44"/>
      <c r="AO128" s="383"/>
      <c r="AP128" s="153"/>
      <c r="AQ128" s="153"/>
      <c r="AR128" s="153"/>
      <c r="AS128" s="153"/>
      <c r="AT128" s="153"/>
      <c r="AU128" s="153"/>
      <c r="AV128" s="153"/>
      <c r="AX128" s="8"/>
      <c r="AY128" s="8"/>
      <c r="BB128" s="13"/>
      <c r="BC128" s="13"/>
      <c r="BD128" s="22"/>
    </row>
    <row r="129" spans="2:56" ht="13.5" customHeight="1">
      <c r="B129" s="1343"/>
      <c r="C129" s="2329" t="s">
        <v>12</v>
      </c>
      <c r="D129" s="2320">
        <v>0.25</v>
      </c>
      <c r="E129" s="2326">
        <v>22.5</v>
      </c>
      <c r="F129" s="2327">
        <v>23</v>
      </c>
      <c r="G129" s="2327">
        <v>95.75</v>
      </c>
      <c r="H129" s="2328">
        <v>680</v>
      </c>
      <c r="I129" s="1030">
        <f>H129-H128</f>
        <v>-0.37400000000002365</v>
      </c>
      <c r="J129" s="2314" t="s">
        <v>938</v>
      </c>
      <c r="P129" s="45"/>
      <c r="X129" s="44"/>
      <c r="Y129" s="44"/>
      <c r="Z129" s="44"/>
      <c r="AA129" s="44"/>
      <c r="AB129" s="44"/>
      <c r="AC129" s="223"/>
      <c r="AD129" s="44"/>
      <c r="AE129" s="153"/>
      <c r="AF129" s="39"/>
      <c r="AG129" s="55"/>
      <c r="AH129" s="46"/>
      <c r="AI129" s="6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X129" s="8"/>
      <c r="AY129" s="8"/>
      <c r="BB129" s="13"/>
      <c r="BC129" s="13"/>
      <c r="BD129" s="22"/>
    </row>
    <row r="130" spans="2:56" ht="13.5" customHeight="1" thickBot="1">
      <c r="B130" s="237"/>
      <c r="C130" s="1347" t="s">
        <v>957</v>
      </c>
      <c r="D130" s="2323"/>
      <c r="E130" s="2421">
        <f>(E128*100/E151)-25</f>
        <v>-3.3333333333338544E-3</v>
      </c>
      <c r="F130" s="586">
        <f t="shared" ref="F130:H130" si="0">(F128*100/F151)-25</f>
        <v>2.1739130434788478E-2</v>
      </c>
      <c r="G130" s="586">
        <f t="shared" si="0"/>
        <v>2.1932114882506681E-2</v>
      </c>
      <c r="H130" s="2487">
        <f t="shared" si="0"/>
        <v>1.3750000000001705E-2</v>
      </c>
      <c r="I130" s="2324"/>
      <c r="J130" s="2325"/>
      <c r="P130" s="45"/>
      <c r="Q130" s="699"/>
      <c r="R130" s="1"/>
      <c r="S130" s="46"/>
      <c r="T130" s="46"/>
      <c r="U130" s="46"/>
      <c r="V130" s="204"/>
      <c r="W130" s="46"/>
      <c r="X130" s="214"/>
      <c r="Y130" s="46"/>
      <c r="Z130" s="46"/>
      <c r="AA130" s="46"/>
      <c r="AB130" s="214"/>
      <c r="AC130" s="46"/>
      <c r="AD130" s="46"/>
      <c r="AE130" s="48"/>
      <c r="AF130" s="32"/>
      <c r="AG130" s="30"/>
      <c r="AH130" s="4"/>
      <c r="AI130" s="9"/>
      <c r="AU130" s="117"/>
      <c r="AX130" s="8"/>
      <c r="AY130" s="8"/>
      <c r="BB130" s="16"/>
      <c r="BC130" s="4"/>
      <c r="BD130" s="8"/>
    </row>
    <row r="131" spans="2:56" ht="12.75" customHeight="1">
      <c r="B131" s="88"/>
      <c r="C131" s="774" t="s">
        <v>152</v>
      </c>
      <c r="D131" s="99"/>
      <c r="E131" s="194"/>
      <c r="F131" s="2447"/>
      <c r="G131" s="2447"/>
      <c r="H131" s="2447"/>
      <c r="I131" s="571"/>
      <c r="J131" s="571"/>
      <c r="P131" s="377"/>
      <c r="Q131" s="169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G131" s="30"/>
      <c r="AH131" s="4"/>
      <c r="AI131" s="8"/>
      <c r="AU131" s="45"/>
      <c r="AV131" s="4"/>
      <c r="AW131" s="8"/>
      <c r="AX131" s="14"/>
      <c r="AY131" s="14"/>
      <c r="BB131" s="13"/>
      <c r="BC131" s="13"/>
      <c r="BD131" s="22"/>
    </row>
    <row r="132" spans="2:56" ht="15.75">
      <c r="B132" s="61"/>
      <c r="C132" s="556" t="s">
        <v>619</v>
      </c>
      <c r="D132" s="1032">
        <v>60</v>
      </c>
      <c r="E132" s="2392">
        <v>1.2</v>
      </c>
      <c r="F132" s="380">
        <v>4.2</v>
      </c>
      <c r="G132" s="380">
        <v>6</v>
      </c>
      <c r="H132" s="2398">
        <v>68</v>
      </c>
      <c r="I132" s="596">
        <v>5</v>
      </c>
      <c r="J132" s="584" t="s">
        <v>631</v>
      </c>
      <c r="P132"/>
      <c r="Y132" s="147"/>
      <c r="Z132" s="153"/>
      <c r="AA132" s="712"/>
      <c r="AB132" s="147"/>
      <c r="AC132" s="153"/>
      <c r="AD132" s="153"/>
      <c r="AE132" s="153"/>
      <c r="AF132" s="32"/>
      <c r="AJ132" s="20"/>
      <c r="AK132" s="363"/>
      <c r="AM132" s="20"/>
      <c r="AN132" s="20"/>
      <c r="AP132" s="43"/>
      <c r="AT132" s="13"/>
      <c r="AU132" s="44"/>
      <c r="AV132" s="4"/>
      <c r="AW132" s="8"/>
      <c r="AX132" s="14"/>
      <c r="AY132" s="14"/>
      <c r="BB132" s="4"/>
      <c r="BC132" s="4"/>
      <c r="BD132" s="8"/>
    </row>
    <row r="133" spans="2:56" ht="13.5" customHeight="1">
      <c r="B133" s="1274" t="s">
        <v>266</v>
      </c>
      <c r="C133" s="594" t="s">
        <v>378</v>
      </c>
      <c r="D133" s="588">
        <v>250</v>
      </c>
      <c r="E133" s="2399">
        <v>2.8109999999999999</v>
      </c>
      <c r="F133" s="1294">
        <v>3.9510000000000001</v>
      </c>
      <c r="G133" s="1294">
        <v>28.186</v>
      </c>
      <c r="H133" s="2398">
        <v>159.547</v>
      </c>
      <c r="I133" s="776">
        <v>21</v>
      </c>
      <c r="J133" s="549" t="s">
        <v>795</v>
      </c>
      <c r="P133" s="9"/>
      <c r="Y133" s="44"/>
      <c r="Z133" s="44"/>
      <c r="AA133" s="44"/>
      <c r="AB133" s="44"/>
      <c r="AC133" s="44"/>
      <c r="AD133" s="44"/>
      <c r="AE133" s="153"/>
      <c r="AF133" s="32"/>
      <c r="AU133" s="32"/>
      <c r="AV133" s="4"/>
      <c r="AW133" s="8"/>
      <c r="AY133" s="8"/>
      <c r="BB133" s="4"/>
      <c r="BD133" s="46"/>
    </row>
    <row r="134" spans="2:56" ht="16.5" customHeight="1">
      <c r="B134" s="1275" t="s">
        <v>267</v>
      </c>
      <c r="C134" s="595" t="s">
        <v>415</v>
      </c>
      <c r="D134" s="551">
        <v>190</v>
      </c>
      <c r="E134" s="1276">
        <v>12.175000000000001</v>
      </c>
      <c r="F134" s="1294">
        <v>16.645</v>
      </c>
      <c r="G134" s="2400">
        <v>15.222</v>
      </c>
      <c r="H134" s="2499">
        <v>259.39699999999999</v>
      </c>
      <c r="I134" s="598">
        <v>49</v>
      </c>
      <c r="J134" s="552" t="s">
        <v>796</v>
      </c>
      <c r="K134" s="22"/>
      <c r="P134"/>
      <c r="Y134" s="44"/>
      <c r="Z134" s="44"/>
      <c r="AA134" s="44"/>
      <c r="AB134" s="44"/>
      <c r="AC134" s="44"/>
      <c r="AD134" s="44"/>
      <c r="AE134" s="153"/>
      <c r="AF134" s="32"/>
      <c r="AJ134" s="20"/>
      <c r="AK134" s="20"/>
      <c r="AM134" s="20"/>
      <c r="AN134" s="20"/>
      <c r="AP134" s="4"/>
      <c r="AU134" s="32"/>
      <c r="AV134" s="4"/>
      <c r="AW134" s="46"/>
      <c r="AY134" s="8"/>
      <c r="BB134" s="4"/>
      <c r="BC134" s="4"/>
      <c r="BD134" s="8"/>
    </row>
    <row r="135" spans="2:56" ht="16.5" customHeight="1">
      <c r="B135" s="1278" t="s">
        <v>13</v>
      </c>
      <c r="C135" s="556" t="s">
        <v>339</v>
      </c>
      <c r="D135" s="561">
        <v>200</v>
      </c>
      <c r="E135" s="2392">
        <v>6.7290000000000001</v>
      </c>
      <c r="F135" s="380">
        <v>5.3179999999999996</v>
      </c>
      <c r="G135" s="380">
        <v>28.164999999999999</v>
      </c>
      <c r="H135" s="1384">
        <v>187.43799999999999</v>
      </c>
      <c r="I135" s="572">
        <v>87</v>
      </c>
      <c r="J135" s="549" t="s">
        <v>797</v>
      </c>
      <c r="K135" s="1029"/>
      <c r="P135"/>
      <c r="Q135" s="4"/>
      <c r="R135" s="9"/>
      <c r="S135" s="44"/>
      <c r="T135" s="44"/>
      <c r="U135" s="44"/>
      <c r="V135" s="111"/>
      <c r="W135" s="222"/>
      <c r="X135" s="152"/>
      <c r="Y135" s="152"/>
      <c r="Z135" s="152"/>
      <c r="AA135" s="152"/>
      <c r="AB135" s="152"/>
      <c r="AC135" s="152"/>
      <c r="AD135" s="152"/>
      <c r="AE135" s="153"/>
      <c r="AF135" s="32"/>
      <c r="AG135" s="364"/>
      <c r="AH135" s="365"/>
      <c r="AI135" s="366"/>
      <c r="AJ135" s="367"/>
      <c r="AK135" s="42"/>
      <c r="AL135" s="42"/>
      <c r="AM135" s="42"/>
      <c r="AN135" s="42"/>
      <c r="AO135" s="42"/>
      <c r="AP135" s="42"/>
      <c r="AQ135" s="364"/>
      <c r="AR135" s="364"/>
      <c r="AS135" s="698"/>
      <c r="AU135" s="32"/>
      <c r="AV135" s="4"/>
      <c r="AW135" s="8"/>
      <c r="AX135" s="8"/>
      <c r="AY135" s="8"/>
      <c r="BB135" s="4"/>
      <c r="BC135" s="4"/>
      <c r="BD135" s="46"/>
    </row>
    <row r="136" spans="2:56" ht="12.75" customHeight="1">
      <c r="B136" s="1279" t="s">
        <v>270</v>
      </c>
      <c r="C136" s="556" t="s">
        <v>11</v>
      </c>
      <c r="D136" s="561">
        <v>70</v>
      </c>
      <c r="E136" s="2392">
        <v>3.6880000000000002</v>
      </c>
      <c r="F136" s="380">
        <v>0.49</v>
      </c>
      <c r="G136" s="380">
        <v>26.56</v>
      </c>
      <c r="H136" s="1384">
        <v>125.402</v>
      </c>
      <c r="I136" s="562">
        <v>11</v>
      </c>
      <c r="J136" s="558" t="s">
        <v>10</v>
      </c>
      <c r="K136" s="3"/>
      <c r="P136"/>
      <c r="Q136" s="4"/>
      <c r="R136" s="9"/>
      <c r="S136" s="44"/>
      <c r="T136" s="44"/>
      <c r="U136" s="44"/>
      <c r="V136" s="111"/>
      <c r="W136" s="44"/>
      <c r="X136" s="44"/>
      <c r="Y136" s="44"/>
      <c r="Z136" s="44"/>
      <c r="AA136" s="44"/>
      <c r="AB136" s="44"/>
      <c r="AC136" s="44"/>
      <c r="AD136" s="44"/>
      <c r="AE136" s="153"/>
      <c r="AF136" s="32"/>
      <c r="AG136" s="49"/>
      <c r="AH136" s="49"/>
      <c r="AI136" s="49"/>
      <c r="AJ136" s="368"/>
      <c r="AK136" s="49"/>
      <c r="AL136" s="49"/>
      <c r="AM136" s="49"/>
      <c r="AN136" s="49"/>
      <c r="AO136" s="49"/>
      <c r="AP136" s="49"/>
      <c r="AQ136" s="49"/>
      <c r="AR136" s="49"/>
      <c r="AS136" s="49"/>
      <c r="AU136" s="32"/>
      <c r="AV136" s="4"/>
      <c r="AW136" s="8"/>
      <c r="AX136" s="8"/>
      <c r="AY136" s="8"/>
      <c r="BB136" s="4"/>
      <c r="BC136" s="4"/>
      <c r="BD136" s="22"/>
    </row>
    <row r="137" spans="2:56" ht="12.75" customHeight="1">
      <c r="B137" s="61"/>
      <c r="C137" s="556" t="s">
        <v>792</v>
      </c>
      <c r="D137" s="551">
        <v>50</v>
      </c>
      <c r="E137" s="2402">
        <v>2.83</v>
      </c>
      <c r="F137" s="381">
        <v>0.6</v>
      </c>
      <c r="G137" s="381">
        <v>20.93</v>
      </c>
      <c r="H137" s="1298">
        <v>100.44</v>
      </c>
      <c r="I137" s="562">
        <v>12</v>
      </c>
      <c r="J137" s="558" t="s">
        <v>10</v>
      </c>
      <c r="K137" s="3"/>
      <c r="P137"/>
      <c r="Q137" s="4"/>
      <c r="R137" s="9"/>
      <c r="S137" s="44"/>
      <c r="T137" s="44"/>
      <c r="U137" s="44"/>
      <c r="V137" s="111"/>
      <c r="W137" s="44"/>
      <c r="X137" s="44"/>
      <c r="Y137" s="44"/>
      <c r="Z137" s="44"/>
      <c r="AA137" s="44"/>
      <c r="AB137" s="44"/>
      <c r="AC137" s="44"/>
      <c r="AD137" s="44"/>
      <c r="AE137" s="153"/>
      <c r="AF137" s="32"/>
      <c r="AG137" s="44"/>
      <c r="AH137" s="44"/>
      <c r="AI137" s="44"/>
      <c r="AJ137" s="111"/>
      <c r="AK137" s="44"/>
      <c r="AL137" s="44"/>
      <c r="AM137" s="44"/>
      <c r="AN137" s="44"/>
      <c r="AO137" s="44"/>
      <c r="AP137" s="44"/>
      <c r="AQ137" s="44"/>
      <c r="AR137" s="44"/>
      <c r="AS137" s="153"/>
      <c r="AU137" s="30"/>
      <c r="AV137" s="4"/>
      <c r="AW137" s="8"/>
      <c r="AY137" s="8"/>
      <c r="BB137" s="4"/>
      <c r="BC137" s="4"/>
      <c r="BD137" s="8"/>
    </row>
    <row r="138" spans="2:56" ht="13.5" customHeight="1" thickBot="1">
      <c r="B138" s="57"/>
      <c r="C138" s="985" t="s">
        <v>1005</v>
      </c>
      <c r="D138" s="574">
        <v>120</v>
      </c>
      <c r="E138" s="2421">
        <v>0.48</v>
      </c>
      <c r="F138" s="586">
        <v>0.48</v>
      </c>
      <c r="G138" s="586">
        <v>11.76</v>
      </c>
      <c r="H138" s="2488">
        <v>56.4</v>
      </c>
      <c r="I138" s="627">
        <v>73</v>
      </c>
      <c r="J138" s="549" t="s">
        <v>1004</v>
      </c>
      <c r="K138" s="3"/>
      <c r="O138" s="789"/>
      <c r="P138"/>
      <c r="Q138" s="699"/>
      <c r="R138" s="1"/>
      <c r="S138" s="46"/>
      <c r="T138" s="46"/>
      <c r="U138" s="46"/>
      <c r="V138" s="214"/>
      <c r="W138" s="46"/>
      <c r="X138" s="46"/>
      <c r="Y138" s="214"/>
      <c r="Z138" s="46"/>
      <c r="AA138" s="458"/>
      <c r="AB138" s="214"/>
      <c r="AC138" s="46"/>
      <c r="AD138" s="46"/>
      <c r="AE138" s="48"/>
      <c r="AF138" s="30"/>
      <c r="AG138" s="705"/>
      <c r="AH138" s="705"/>
      <c r="AI138" s="705"/>
      <c r="AJ138" s="713"/>
      <c r="AK138" s="705"/>
      <c r="AL138" s="705"/>
      <c r="AM138" s="705"/>
      <c r="AN138" s="705"/>
      <c r="AO138" s="706"/>
      <c r="AP138" s="706"/>
      <c r="AQ138" s="705"/>
      <c r="AR138" s="705"/>
      <c r="AS138" s="705"/>
      <c r="AY138" s="8"/>
      <c r="BB138" s="4"/>
      <c r="BC138" s="4"/>
      <c r="BD138" s="8"/>
    </row>
    <row r="139" spans="2:56" ht="15" customHeight="1">
      <c r="B139" s="565" t="s">
        <v>269</v>
      </c>
      <c r="C139" s="433"/>
      <c r="D139" s="934">
        <f>SUM(D132:D138)</f>
        <v>940</v>
      </c>
      <c r="E139" s="575">
        <f>SUM(E132:E138)</f>
        <v>29.913</v>
      </c>
      <c r="F139" s="1353">
        <f>SUM(F132:F138)</f>
        <v>31.683999999999997</v>
      </c>
      <c r="G139" s="576">
        <f>SUM(G132:G138)</f>
        <v>136.82300000000001</v>
      </c>
      <c r="H139" s="2486">
        <f>SUM(H132:H138)</f>
        <v>956.62399999999991</v>
      </c>
      <c r="I139" s="1286" t="s">
        <v>482</v>
      </c>
      <c r="J139" s="1020" t="s">
        <v>280</v>
      </c>
      <c r="K139" s="3"/>
      <c r="O139" s="44"/>
      <c r="P139"/>
      <c r="Q139" s="433"/>
      <c r="R139" s="8"/>
      <c r="S139" s="435"/>
      <c r="T139" s="435"/>
      <c r="U139" s="435"/>
      <c r="V139" s="434"/>
      <c r="W139" s="435"/>
      <c r="X139" s="434"/>
      <c r="Y139" s="434"/>
      <c r="Z139" s="435"/>
      <c r="AA139" s="714"/>
      <c r="AB139" s="434"/>
      <c r="AC139" s="434"/>
      <c r="AD139" s="435"/>
      <c r="AE139" s="435"/>
      <c r="AF139" s="39"/>
      <c r="AV139" s="40"/>
      <c r="AX139" s="708"/>
      <c r="AY139" s="8"/>
    </row>
    <row r="140" spans="2:56" ht="14.25" customHeight="1">
      <c r="B140" s="1343"/>
      <c r="C140" s="2329" t="s">
        <v>12</v>
      </c>
      <c r="D140" s="2330">
        <v>0.35</v>
      </c>
      <c r="E140" s="2326">
        <v>31.5</v>
      </c>
      <c r="F140" s="2327">
        <v>32.200000000000003</v>
      </c>
      <c r="G140" s="2327">
        <v>134.05000000000001</v>
      </c>
      <c r="H140" s="2328">
        <v>952</v>
      </c>
      <c r="I140" s="361">
        <f>H140-H139</f>
        <v>-4.62399999999991</v>
      </c>
      <c r="J140" s="2314" t="s">
        <v>938</v>
      </c>
      <c r="K140" s="3"/>
      <c r="Z140" s="437"/>
      <c r="AA140" s="432"/>
      <c r="AB140" s="432"/>
      <c r="AC140" s="437"/>
      <c r="AD140" s="437"/>
      <c r="AE140" s="438"/>
      <c r="AF140" s="9"/>
      <c r="AP140" s="43"/>
      <c r="AR140" s="43"/>
      <c r="AV140" s="40"/>
      <c r="AX140" s="8"/>
      <c r="AY140" s="8"/>
    </row>
    <row r="141" spans="2:56" ht="13.5" customHeight="1" thickBot="1">
      <c r="B141" s="237"/>
      <c r="C141" s="1347" t="s">
        <v>957</v>
      </c>
      <c r="D141" s="2323"/>
      <c r="E141" s="2421">
        <f>(E139*100/E151)-35</f>
        <v>-1.7633333333333283</v>
      </c>
      <c r="F141" s="586">
        <f t="shared" ref="F141:H141" si="1">(F139*100/F151)-35</f>
        <v>-0.56086956521739495</v>
      </c>
      <c r="G141" s="586">
        <f>(G139*100/G151)-35</f>
        <v>0.7240208877284644</v>
      </c>
      <c r="H141" s="2487">
        <f t="shared" si="1"/>
        <v>0.1699999999999946</v>
      </c>
      <c r="I141" s="2324"/>
      <c r="J141" s="2325"/>
      <c r="K141" s="3"/>
      <c r="O141" s="44"/>
      <c r="Z141" s="1"/>
      <c r="AA141" s="1"/>
      <c r="AB141" s="1"/>
      <c r="AC141" s="1"/>
      <c r="AD141" s="1"/>
      <c r="AF141" s="32"/>
      <c r="AJ141" s="715"/>
      <c r="AR141" s="43"/>
      <c r="AW141" s="1"/>
      <c r="AX141" s="1"/>
      <c r="AY141" s="1"/>
    </row>
    <row r="142" spans="2:56" ht="17.25" customHeight="1">
      <c r="B142" s="550" t="s">
        <v>266</v>
      </c>
      <c r="C142" s="1090" t="s">
        <v>324</v>
      </c>
      <c r="D142" s="99"/>
      <c r="E142" s="2446"/>
      <c r="F142" s="2447"/>
      <c r="G142" s="2447"/>
      <c r="H142" s="2497"/>
      <c r="I142" s="590"/>
      <c r="J142" s="590"/>
      <c r="K142" s="3"/>
      <c r="Z142" s="1"/>
      <c r="AA142" s="1"/>
      <c r="AB142" s="1"/>
      <c r="AC142" s="1"/>
      <c r="AD142" s="1"/>
      <c r="AF142" s="32"/>
      <c r="AG142" s="32"/>
      <c r="AH142" s="4"/>
      <c r="AI142" s="4"/>
      <c r="AJ142" s="8"/>
    </row>
    <row r="143" spans="2:56" ht="12.75" customHeight="1">
      <c r="B143" s="553" t="s">
        <v>267</v>
      </c>
      <c r="C143" s="556" t="s">
        <v>326</v>
      </c>
      <c r="D143" s="561">
        <v>200</v>
      </c>
      <c r="E143" s="2459">
        <v>5.8</v>
      </c>
      <c r="F143" s="384">
        <v>5</v>
      </c>
      <c r="G143" s="384">
        <v>8</v>
      </c>
      <c r="H143" s="1384">
        <v>100.2</v>
      </c>
      <c r="I143" s="557">
        <v>95</v>
      </c>
      <c r="J143" s="558" t="s">
        <v>325</v>
      </c>
      <c r="K143" s="3"/>
      <c r="O143" s="4"/>
      <c r="Z143" s="1"/>
      <c r="AA143" s="1"/>
      <c r="AB143" s="1"/>
      <c r="AC143" s="1"/>
      <c r="AD143" s="1"/>
      <c r="AF143" s="32"/>
      <c r="AG143" s="118"/>
      <c r="AH143" s="4"/>
      <c r="AI143" s="8"/>
      <c r="AJ143" s="111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2:56" ht="18" customHeight="1">
      <c r="B144" s="555" t="s">
        <v>13</v>
      </c>
      <c r="C144" s="1394" t="s">
        <v>486</v>
      </c>
      <c r="D144" s="561" t="s">
        <v>537</v>
      </c>
      <c r="E144" s="2392">
        <v>1.22</v>
      </c>
      <c r="F144" s="380">
        <v>4.1360000000000001</v>
      </c>
      <c r="G144" s="380">
        <v>12.94</v>
      </c>
      <c r="H144" s="1384">
        <v>93.864000000000004</v>
      </c>
      <c r="I144" s="219">
        <v>42</v>
      </c>
      <c r="J144" s="584" t="s">
        <v>501</v>
      </c>
      <c r="K144" s="22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F144" s="30"/>
      <c r="AH144" s="169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W144" s="62"/>
      <c r="AX144" s="62"/>
    </row>
    <row r="145" spans="2:52" ht="15.75" customHeight="1" thickBot="1">
      <c r="B145" s="559" t="s">
        <v>270</v>
      </c>
      <c r="C145" s="563" t="s">
        <v>11</v>
      </c>
      <c r="D145" s="574">
        <v>40</v>
      </c>
      <c r="E145" s="2392">
        <v>2.1070000000000002</v>
      </c>
      <c r="F145" s="380">
        <v>0.28000000000000003</v>
      </c>
      <c r="G145" s="380">
        <v>16.32</v>
      </c>
      <c r="H145" s="1384">
        <v>76.227999999999994</v>
      </c>
      <c r="I145" s="562">
        <v>11</v>
      </c>
      <c r="J145" s="558" t="s">
        <v>10</v>
      </c>
      <c r="K145" s="624"/>
      <c r="R145" s="9"/>
      <c r="S145" s="4"/>
      <c r="T145" s="4"/>
      <c r="U145" s="4"/>
      <c r="V145" s="8"/>
      <c r="W145" s="8"/>
      <c r="X145" s="17"/>
      <c r="Y145" s="4"/>
      <c r="Z145" s="4"/>
      <c r="AA145" s="8"/>
      <c r="AB145" s="4"/>
      <c r="AC145" s="4"/>
      <c r="AD145" s="4"/>
      <c r="AE145" s="4"/>
      <c r="AF145" s="9"/>
      <c r="AG145" s="32"/>
      <c r="AH145" s="4"/>
      <c r="AI145" s="9"/>
      <c r="AW145" s="62"/>
    </row>
    <row r="146" spans="2:52">
      <c r="B146" s="565" t="s">
        <v>357</v>
      </c>
      <c r="C146" s="433"/>
      <c r="D146" s="577">
        <f>D145+D143+90+30</f>
        <v>360</v>
      </c>
      <c r="E146" s="575">
        <f>SUM(E143:E145)</f>
        <v>9.1269999999999989</v>
      </c>
      <c r="F146" s="1353">
        <f>SUM(F143:F145)</f>
        <v>9.4159999999999986</v>
      </c>
      <c r="G146" s="576">
        <f>SUM(G143:G145)</f>
        <v>37.26</v>
      </c>
      <c r="H146" s="2486">
        <f>SUM(H143:H145)</f>
        <v>270.29200000000003</v>
      </c>
      <c r="I146" s="1273" t="s">
        <v>482</v>
      </c>
      <c r="J146" s="1020" t="s">
        <v>280</v>
      </c>
      <c r="K146" s="44"/>
      <c r="O146" s="222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32"/>
      <c r="AG146" s="32"/>
      <c r="AH146" s="13"/>
      <c r="AI146" s="150"/>
    </row>
    <row r="147" spans="2:52" ht="15" customHeight="1">
      <c r="B147" s="1343"/>
      <c r="C147" s="2329" t="s">
        <v>12</v>
      </c>
      <c r="D147" s="2320">
        <v>0.1</v>
      </c>
      <c r="E147" s="2326">
        <v>9</v>
      </c>
      <c r="F147" s="2327">
        <v>9.1999999999999993</v>
      </c>
      <c r="G147" s="2327">
        <v>38.299999999999997</v>
      </c>
      <c r="H147" s="2328">
        <v>272</v>
      </c>
      <c r="I147" s="2344">
        <f>H147-H146</f>
        <v>1.70799999999997</v>
      </c>
      <c r="J147" s="2314" t="s">
        <v>938</v>
      </c>
      <c r="K147" s="3"/>
      <c r="AA147" s="1"/>
      <c r="AB147" s="1"/>
      <c r="AC147" s="1"/>
      <c r="AD147" s="1"/>
      <c r="AF147" s="117"/>
      <c r="AG147" s="385"/>
      <c r="AH147" s="13"/>
      <c r="AI147" s="3"/>
      <c r="AW147" s="716"/>
    </row>
    <row r="148" spans="2:52" ht="15" customHeight="1" thickBot="1">
      <c r="B148" s="237"/>
      <c r="C148" s="1347" t="s">
        <v>957</v>
      </c>
      <c r="D148" s="2323"/>
      <c r="E148" s="2421">
        <f>(E146*100/E151)-10</f>
        <v>0.14111111111111008</v>
      </c>
      <c r="F148" s="586">
        <f t="shared" ref="F148" si="2">(F146*100/F151)-10</f>
        <v>0.23478260869565126</v>
      </c>
      <c r="G148" s="586">
        <f>(G146*100/G151)-10</f>
        <v>-0.27154046997389081</v>
      </c>
      <c r="H148" s="2487">
        <f>(H146*100/H151)-10</f>
        <v>-6.279411764705678E-2</v>
      </c>
      <c r="I148" s="2324"/>
      <c r="J148" s="2325"/>
      <c r="K148" s="766"/>
      <c r="O148" s="4"/>
      <c r="R148" s="22"/>
      <c r="AA148" s="44"/>
      <c r="AB148" s="223"/>
      <c r="AC148" s="152"/>
      <c r="AD148" s="44"/>
      <c r="AE148" s="44"/>
      <c r="AF148" s="119"/>
      <c r="AG148" s="385"/>
      <c r="AH148" s="13"/>
      <c r="AI148" s="22"/>
      <c r="AX148" s="62"/>
    </row>
    <row r="149" spans="2:52" ht="16.5" customHeight="1" thickBot="1">
      <c r="E149" s="194"/>
      <c r="F149" s="194"/>
      <c r="G149" s="194"/>
      <c r="H149" s="194"/>
      <c r="K149" s="33"/>
      <c r="R149" s="9"/>
      <c r="AA149" s="44"/>
      <c r="AB149" s="223"/>
      <c r="AC149" s="44"/>
      <c r="AD149" s="44"/>
      <c r="AE149" s="153"/>
      <c r="AF149" s="32"/>
      <c r="AG149" s="385"/>
      <c r="AH149" s="13"/>
      <c r="AI149" s="22"/>
    </row>
    <row r="150" spans="2:52" ht="15.75" customHeight="1">
      <c r="B150" s="2331"/>
      <c r="C150" s="2332"/>
      <c r="D150" s="2333"/>
      <c r="E150" s="2489" t="s">
        <v>6</v>
      </c>
      <c r="F150" s="2490" t="s">
        <v>7</v>
      </c>
      <c r="G150" s="2490" t="s">
        <v>8</v>
      </c>
      <c r="H150" s="2491" t="s">
        <v>958</v>
      </c>
      <c r="I150" s="2334"/>
      <c r="J150" s="2333"/>
      <c r="K150" s="22"/>
      <c r="R150" s="66"/>
      <c r="AA150" s="44"/>
      <c r="AB150" s="44"/>
      <c r="AC150" s="44"/>
      <c r="AD150" s="44"/>
      <c r="AE150" s="153"/>
      <c r="AF150" s="32"/>
      <c r="AH150" s="40"/>
      <c r="AJ150" s="111"/>
    </row>
    <row r="151" spans="2:52" ht="12.75" customHeight="1" thickBot="1">
      <c r="B151" s="2335"/>
      <c r="C151" s="2336" t="s">
        <v>959</v>
      </c>
      <c r="D151" s="2337">
        <v>1</v>
      </c>
      <c r="E151" s="2492">
        <v>90</v>
      </c>
      <c r="F151" s="2493">
        <v>92</v>
      </c>
      <c r="G151" s="2494">
        <v>383</v>
      </c>
      <c r="H151" s="2495">
        <v>2720</v>
      </c>
      <c r="I151" s="2338" t="s">
        <v>960</v>
      </c>
      <c r="J151" s="2339"/>
      <c r="K151" s="1030"/>
      <c r="R151" s="9"/>
      <c r="AA151" s="44"/>
      <c r="AB151" s="44"/>
      <c r="AC151" s="44"/>
      <c r="AD151" s="44"/>
      <c r="AE151" s="153"/>
      <c r="AF151" s="32"/>
      <c r="AG151" s="63"/>
      <c r="AH151" s="169"/>
    </row>
    <row r="152" spans="2:52" ht="13.5" customHeight="1" thickBot="1">
      <c r="E152" s="194"/>
      <c r="F152" s="194"/>
      <c r="G152" s="194"/>
      <c r="H152" s="194"/>
      <c r="K152" s="3"/>
      <c r="R152" s="9"/>
      <c r="AA152" s="44"/>
      <c r="AB152" s="44"/>
      <c r="AC152" s="44"/>
      <c r="AD152" s="44"/>
      <c r="AE152" s="153"/>
      <c r="AF152" s="44"/>
      <c r="AG152" s="119"/>
      <c r="AH152" s="116"/>
      <c r="AI152" s="46"/>
      <c r="AJ152" s="207"/>
      <c r="AK152" s="45"/>
      <c r="AL152" s="4"/>
      <c r="AM152" s="9"/>
      <c r="AN152" s="44"/>
      <c r="AO152" s="44"/>
      <c r="AP152" s="44"/>
      <c r="AQ152" s="111"/>
      <c r="AR152" s="44"/>
      <c r="AS152" s="44"/>
      <c r="AT152" s="44"/>
      <c r="AU152" s="44"/>
      <c r="AV152" s="44"/>
      <c r="AW152" s="44"/>
      <c r="AX152" s="44"/>
      <c r="AY152" s="44"/>
      <c r="AZ152" s="153"/>
    </row>
    <row r="153" spans="2:52">
      <c r="B153" s="1021"/>
      <c r="C153" s="34" t="s">
        <v>481</v>
      </c>
      <c r="D153" s="35"/>
      <c r="E153" s="145">
        <f>E128+E139</f>
        <v>52.41</v>
      </c>
      <c r="F153" s="243">
        <f>F128+F139</f>
        <v>54.704000000000001</v>
      </c>
      <c r="G153" s="243">
        <f>G128+G139</f>
        <v>232.65699999999998</v>
      </c>
      <c r="H153" s="1024">
        <f>H128+H139</f>
        <v>1636.998</v>
      </c>
      <c r="I153" s="1280" t="s">
        <v>482</v>
      </c>
      <c r="J153" s="1020" t="s">
        <v>280</v>
      </c>
      <c r="K153" s="3"/>
      <c r="R153" s="1"/>
      <c r="S153" s="46"/>
      <c r="T153" s="46"/>
      <c r="U153" s="46"/>
      <c r="V153" s="204"/>
      <c r="W153" s="46"/>
      <c r="X153" s="46"/>
      <c r="Y153" s="46"/>
      <c r="Z153" s="46"/>
      <c r="AA153" s="46"/>
      <c r="AB153" s="214"/>
      <c r="AC153" s="46"/>
      <c r="AD153" s="46"/>
      <c r="AE153" s="66"/>
      <c r="AF153" s="44"/>
      <c r="AG153" s="32"/>
      <c r="AH153" s="4"/>
      <c r="AI153" s="8"/>
    </row>
    <row r="154" spans="2:52" ht="13.5" customHeight="1">
      <c r="B154" s="513"/>
      <c r="C154" s="2322" t="s">
        <v>12</v>
      </c>
      <c r="D154" s="2320">
        <v>0.6</v>
      </c>
      <c r="E154" s="2340">
        <v>54</v>
      </c>
      <c r="F154" s="2341">
        <v>55.2</v>
      </c>
      <c r="G154" s="2341">
        <v>229.8</v>
      </c>
      <c r="H154" s="2342">
        <v>1632</v>
      </c>
      <c r="I154" s="2346">
        <f>H154-H153</f>
        <v>-4.9980000000000473</v>
      </c>
      <c r="J154" s="2314" t="s">
        <v>938</v>
      </c>
      <c r="K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F154" s="9"/>
      <c r="AG154" s="63"/>
      <c r="AH154" s="4"/>
    </row>
    <row r="155" spans="2:52" ht="16.5" customHeight="1" thickBot="1">
      <c r="B155" s="237"/>
      <c r="C155" s="1347" t="s">
        <v>957</v>
      </c>
      <c r="D155" s="2323"/>
      <c r="E155" s="2421">
        <f>(E153*100/E151)-60</f>
        <v>-1.7666666666666657</v>
      </c>
      <c r="F155" s="586">
        <f t="shared" ref="F155" si="3">(F153*100/F151)-60</f>
        <v>-0.53913043478261358</v>
      </c>
      <c r="G155" s="586">
        <f>(G153*100/G151)-60</f>
        <v>0.74595300261096043</v>
      </c>
      <c r="H155" s="2487">
        <f>(H153*100/H151)-60</f>
        <v>0.18375000000000341</v>
      </c>
      <c r="I155" s="2324"/>
      <c r="J155" s="2325"/>
      <c r="K155" s="3"/>
      <c r="R155" s="9"/>
      <c r="S155" s="44"/>
      <c r="T155" s="44"/>
      <c r="U155" s="44"/>
      <c r="V155" s="111"/>
      <c r="W155" s="44"/>
      <c r="X155" s="152"/>
      <c r="Y155" s="44"/>
      <c r="Z155" s="44"/>
      <c r="AA155" s="44"/>
      <c r="AB155" s="223"/>
      <c r="AC155" s="152"/>
      <c r="AD155" s="44"/>
      <c r="AE155" s="44"/>
      <c r="AG155" s="32"/>
      <c r="AH155" s="62"/>
      <c r="AI155" s="48"/>
    </row>
    <row r="156" spans="2:52" ht="12.75" customHeight="1" thickBot="1">
      <c r="E156" s="194"/>
      <c r="F156" s="194"/>
      <c r="G156" s="194"/>
      <c r="H156" s="194"/>
      <c r="K156" s="3"/>
      <c r="R156" s="9"/>
      <c r="S156" s="44"/>
      <c r="T156" s="44"/>
      <c r="U156" s="44"/>
      <c r="V156" s="111"/>
      <c r="W156" s="44"/>
      <c r="X156" s="44"/>
      <c r="Y156" s="44"/>
      <c r="Z156" s="44"/>
      <c r="AA156" s="44"/>
      <c r="AB156" s="44"/>
      <c r="AC156" s="44"/>
      <c r="AD156" s="44"/>
      <c r="AE156" s="119"/>
      <c r="AG156" s="32"/>
      <c r="AH156" s="4"/>
      <c r="AI156" s="8"/>
    </row>
    <row r="157" spans="2:52" ht="12" customHeight="1">
      <c r="B157" s="1021"/>
      <c r="C157" s="34" t="s">
        <v>480</v>
      </c>
      <c r="D157" s="2320">
        <v>0.45</v>
      </c>
      <c r="E157" s="145">
        <f>E139+E146</f>
        <v>39.04</v>
      </c>
      <c r="F157" s="243">
        <f>F139+F146</f>
        <v>41.099999999999994</v>
      </c>
      <c r="G157" s="243">
        <f>G139+G146</f>
        <v>174.083</v>
      </c>
      <c r="H157" s="1024">
        <f>H139+H146</f>
        <v>1226.9159999999999</v>
      </c>
      <c r="I157" s="1273" t="s">
        <v>482</v>
      </c>
      <c r="J157" s="1020" t="s">
        <v>280</v>
      </c>
      <c r="K157" s="3"/>
      <c r="R157" s="9"/>
      <c r="S157" s="44"/>
      <c r="T157" s="44"/>
      <c r="U157" s="44"/>
      <c r="V157" s="111"/>
      <c r="W157" s="44"/>
      <c r="X157" s="44"/>
      <c r="Y157" s="44"/>
      <c r="Z157" s="44"/>
      <c r="AA157" s="44"/>
      <c r="AB157" s="44"/>
      <c r="AC157" s="44"/>
      <c r="AD157" s="44"/>
      <c r="AE157" s="153"/>
      <c r="AG157" s="32"/>
      <c r="AH157" s="4"/>
      <c r="AI157" s="8"/>
    </row>
    <row r="158" spans="2:52" ht="13.5" customHeight="1">
      <c r="B158" s="513"/>
      <c r="C158" s="2322" t="s">
        <v>12</v>
      </c>
      <c r="D158" s="184"/>
      <c r="E158" s="2326">
        <v>40.5</v>
      </c>
      <c r="F158" s="2327">
        <v>41.4</v>
      </c>
      <c r="G158" s="2327">
        <v>172.35</v>
      </c>
      <c r="H158" s="2328">
        <v>1224</v>
      </c>
      <c r="I158" s="2344">
        <f>H158-H157</f>
        <v>-2.91599999999994</v>
      </c>
      <c r="J158" s="2314" t="s">
        <v>938</v>
      </c>
      <c r="K158" s="3"/>
      <c r="R158" s="9"/>
      <c r="S158" s="44"/>
      <c r="T158" s="44"/>
      <c r="U158" s="44"/>
      <c r="V158" s="111"/>
      <c r="W158" s="44"/>
      <c r="X158" s="44"/>
      <c r="Y158" s="44"/>
      <c r="Z158" s="44"/>
      <c r="AA158" s="44"/>
      <c r="AB158" s="44"/>
      <c r="AC158" s="44"/>
      <c r="AD158" s="44"/>
      <c r="AE158" s="153"/>
      <c r="AG158" s="32"/>
      <c r="AH158" s="4"/>
      <c r="AI158" s="8"/>
    </row>
    <row r="159" spans="2:52" ht="15" customHeight="1" thickBot="1">
      <c r="B159" s="237"/>
      <c r="C159" s="1347" t="s">
        <v>957</v>
      </c>
      <c r="D159" s="2323"/>
      <c r="E159" s="2421">
        <f>(E157*100/E151)-45</f>
        <v>-1.62222222222222</v>
      </c>
      <c r="F159" s="586">
        <f t="shared" ref="F159" si="4">(F157*100/F151)-45</f>
        <v>-0.32608695652174902</v>
      </c>
      <c r="G159" s="586">
        <f>(G157*100/G151)-45</f>
        <v>0.45248041775456471</v>
      </c>
      <c r="H159" s="2487">
        <f>(H157*100/H151)-45</f>
        <v>0.10720588235293604</v>
      </c>
      <c r="I159" s="2324"/>
      <c r="J159" s="2325"/>
      <c r="K159" s="3"/>
      <c r="R159" s="9"/>
      <c r="S159" s="44"/>
      <c r="T159" s="44"/>
      <c r="U159" s="44"/>
      <c r="V159" s="111"/>
      <c r="W159" s="44"/>
      <c r="X159" s="44"/>
      <c r="Y159" s="44"/>
      <c r="Z159" s="44"/>
      <c r="AA159" s="44"/>
      <c r="AB159" s="44"/>
      <c r="AC159" s="44"/>
      <c r="AD159" s="44"/>
      <c r="AE159" s="153"/>
      <c r="AG159" s="32"/>
      <c r="AH159" s="4"/>
      <c r="AI159" s="8"/>
      <c r="AJ159" s="44"/>
      <c r="AK159" s="44"/>
      <c r="AL159" s="44"/>
      <c r="AM159" s="111"/>
      <c r="AN159" s="44"/>
      <c r="AO159" s="44"/>
      <c r="AP159" s="152"/>
      <c r="AQ159" s="44"/>
      <c r="AR159" s="44"/>
      <c r="AS159" s="44"/>
      <c r="AT159" s="44"/>
      <c r="AU159" s="44"/>
      <c r="AV159" s="153"/>
    </row>
    <row r="160" spans="2:52" ht="15.75" thickBot="1">
      <c r="E160" s="194"/>
      <c r="F160" s="194"/>
      <c r="G160" s="194"/>
      <c r="H160" s="194"/>
      <c r="K160" s="3"/>
      <c r="R160" s="9"/>
      <c r="S160" s="44"/>
      <c r="T160" s="44"/>
      <c r="U160" s="44"/>
      <c r="V160" s="111"/>
      <c r="W160" s="44"/>
      <c r="X160" s="44"/>
      <c r="Y160" s="44"/>
      <c r="Z160" s="44"/>
      <c r="AA160" s="44"/>
      <c r="AB160" s="44"/>
      <c r="AC160" s="44"/>
      <c r="AD160" s="44"/>
      <c r="AE160" s="153"/>
      <c r="AG160" s="33"/>
      <c r="AH160" s="4"/>
      <c r="AI160" s="8"/>
      <c r="AJ160" s="44"/>
      <c r="AK160" s="44"/>
      <c r="AL160" s="44"/>
      <c r="AM160" s="111"/>
      <c r="AN160" s="44"/>
      <c r="AO160" s="44"/>
      <c r="AP160" s="152"/>
      <c r="AQ160" s="44"/>
      <c r="AR160" s="44"/>
      <c r="AS160" s="44"/>
      <c r="AT160" s="44"/>
      <c r="AU160" s="44"/>
      <c r="AV160" s="153"/>
    </row>
    <row r="161" spans="2:51">
      <c r="B161" s="1021"/>
      <c r="C161" s="34" t="s">
        <v>358</v>
      </c>
      <c r="D161" s="35"/>
      <c r="E161" s="145">
        <f>E128+E139+E146</f>
        <v>61.536999999999992</v>
      </c>
      <c r="F161" s="243">
        <f>F128+F139+F146</f>
        <v>64.12</v>
      </c>
      <c r="G161" s="243">
        <f>G128+G139+G146</f>
        <v>269.91699999999997</v>
      </c>
      <c r="H161" s="1024">
        <f>H128+H139+H146</f>
        <v>1907.29</v>
      </c>
      <c r="I161" s="1273" t="s">
        <v>482</v>
      </c>
      <c r="J161" s="1020" t="s">
        <v>280</v>
      </c>
      <c r="K161" s="3"/>
      <c r="R161" s="9"/>
      <c r="S161" s="44"/>
      <c r="T161" s="152"/>
      <c r="U161" s="44"/>
      <c r="V161" s="111"/>
      <c r="W161" s="44"/>
      <c r="X161" s="44"/>
      <c r="Y161" s="44"/>
      <c r="Z161" s="44"/>
      <c r="AA161" s="44"/>
      <c r="AB161" s="44"/>
      <c r="AC161" s="223"/>
      <c r="AD161" s="44"/>
      <c r="AE161" s="153"/>
      <c r="AG161" s="33"/>
      <c r="AH161" s="4"/>
      <c r="AI161" s="8"/>
      <c r="AJ161" s="44"/>
      <c r="AK161" s="152"/>
      <c r="AL161" s="44"/>
      <c r="AM161" s="111"/>
      <c r="AN161" s="44"/>
      <c r="AO161" s="44"/>
      <c r="AP161" s="44"/>
      <c r="AQ161" s="44"/>
      <c r="AR161" s="44"/>
      <c r="AS161" s="44"/>
      <c r="AT161" s="223"/>
      <c r="AU161" s="44"/>
      <c r="AV161" s="153"/>
    </row>
    <row r="162" spans="2:51">
      <c r="B162" s="1343"/>
      <c r="C162" s="2329" t="s">
        <v>12</v>
      </c>
      <c r="D162" s="2320">
        <v>0.7</v>
      </c>
      <c r="E162" s="2326">
        <v>63</v>
      </c>
      <c r="F162" s="2327">
        <v>64.400000000000006</v>
      </c>
      <c r="G162" s="2327">
        <v>268.10000000000002</v>
      </c>
      <c r="H162" s="2328">
        <v>1904</v>
      </c>
      <c r="I162" s="2344">
        <f>H162-H161</f>
        <v>-3.2899999999999636</v>
      </c>
      <c r="J162" s="2314" t="s">
        <v>938</v>
      </c>
      <c r="K162" s="3"/>
      <c r="R162" s="1"/>
      <c r="S162" s="46"/>
      <c r="T162" s="46"/>
      <c r="U162" s="46"/>
      <c r="V162" s="214"/>
      <c r="W162" s="46"/>
      <c r="X162" s="214"/>
      <c r="Y162" s="214"/>
      <c r="Z162" s="46"/>
      <c r="AA162" s="458"/>
      <c r="AB162" s="214"/>
      <c r="AC162" s="204"/>
      <c r="AD162" s="46"/>
      <c r="AE162" s="48"/>
      <c r="AJ162" s="32"/>
      <c r="AK162" s="4"/>
      <c r="AL162" s="9"/>
      <c r="AM162" s="44"/>
      <c r="AN162" s="44"/>
      <c r="AO162" s="44"/>
      <c r="AP162" s="111"/>
      <c r="AQ162" s="222"/>
      <c r="AR162" s="152"/>
      <c r="AS162" s="152"/>
      <c r="AT162" s="152"/>
      <c r="AU162" s="152"/>
      <c r="AV162" s="152"/>
      <c r="AW162" s="152"/>
      <c r="AX162" s="152"/>
      <c r="AY162" s="153"/>
    </row>
    <row r="163" spans="2:51" ht="15.75" thickBot="1">
      <c r="B163" s="237"/>
      <c r="C163" s="1347" t="s">
        <v>957</v>
      </c>
      <c r="D163" s="2323"/>
      <c r="E163" s="2421">
        <f>(E161*100/E151)-70</f>
        <v>-1.6255555555555645</v>
      </c>
      <c r="F163" s="586">
        <f t="shared" ref="F163:G163" si="5">(F161*100/F151)-70</f>
        <v>-0.30434782608695343</v>
      </c>
      <c r="G163" s="586">
        <f t="shared" si="5"/>
        <v>0.47441253263707495</v>
      </c>
      <c r="H163" s="2487">
        <f>(H161*100/H151)-70</f>
        <v>0.12095588235294485</v>
      </c>
      <c r="I163" s="2324"/>
      <c r="J163" s="2325"/>
      <c r="K163" s="3"/>
      <c r="R163" s="8"/>
      <c r="S163" s="435"/>
      <c r="T163" s="435"/>
      <c r="U163" s="435"/>
      <c r="V163" s="434"/>
      <c r="W163" s="435"/>
      <c r="X163" s="434"/>
      <c r="Y163" s="434"/>
      <c r="Z163" s="435"/>
      <c r="AA163" s="714"/>
      <c r="AB163" s="434"/>
      <c r="AC163" s="434"/>
      <c r="AD163" s="435"/>
      <c r="AE163" s="435"/>
      <c r="AG163" s="32"/>
      <c r="AH163" s="4"/>
      <c r="AI163" s="183"/>
      <c r="AJ163" s="32"/>
      <c r="AK163" s="4"/>
      <c r="AL163" s="66"/>
      <c r="AM163" s="44"/>
      <c r="AN163" s="44"/>
      <c r="AO163" s="44"/>
      <c r="AP163" s="111"/>
      <c r="AQ163" s="44"/>
      <c r="AR163" s="44"/>
      <c r="AS163" s="152"/>
      <c r="AT163" s="44"/>
      <c r="AU163" s="44"/>
      <c r="AV163" s="44"/>
      <c r="AW163" s="44"/>
      <c r="AX163" s="44"/>
      <c r="AY163" s="153"/>
    </row>
    <row r="164" spans="2:51">
      <c r="K164" s="3"/>
      <c r="S164" s="437"/>
      <c r="T164" s="437"/>
      <c r="U164" s="437"/>
      <c r="V164" s="437"/>
      <c r="W164" s="704"/>
      <c r="X164" s="437"/>
      <c r="Y164" s="437"/>
      <c r="Z164" s="437"/>
      <c r="AA164" s="432"/>
      <c r="AB164" s="432"/>
      <c r="AC164" s="437"/>
      <c r="AD164" s="437"/>
      <c r="AE164" s="438"/>
      <c r="AG164" s="32"/>
      <c r="AH164" s="4"/>
      <c r="AI164" s="8"/>
      <c r="AJ164" s="55"/>
      <c r="AK164" s="218"/>
      <c r="AL164" s="66"/>
      <c r="AM164" s="44"/>
      <c r="AN164" s="44"/>
      <c r="AO164" s="44"/>
      <c r="AP164" s="111"/>
      <c r="AQ164" s="44"/>
      <c r="AR164" s="44"/>
      <c r="AS164" s="152"/>
      <c r="AT164" s="44"/>
      <c r="AU164" s="44"/>
      <c r="AV164" s="44"/>
      <c r="AW164" s="44"/>
      <c r="AX164" s="44"/>
      <c r="AY164" s="153"/>
    </row>
    <row r="165" spans="2:51">
      <c r="K165" s="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G165" s="4"/>
      <c r="AH165" s="8"/>
      <c r="AI165" s="40"/>
      <c r="AJ165" s="33"/>
      <c r="AK165" s="4"/>
      <c r="AL165" s="9"/>
      <c r="AM165" s="44"/>
      <c r="AN165" s="152"/>
      <c r="AO165" s="44"/>
      <c r="AP165" s="111"/>
      <c r="AQ165" s="44"/>
      <c r="AR165" s="44"/>
      <c r="AS165" s="44"/>
      <c r="AT165" s="44"/>
      <c r="AU165" s="44"/>
      <c r="AV165" s="44"/>
      <c r="AW165" s="223"/>
      <c r="AX165" s="44"/>
      <c r="AY165" s="153"/>
    </row>
    <row r="166" spans="2:51">
      <c r="K166" s="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G166" s="4"/>
      <c r="AH166" s="46"/>
    </row>
    <row r="167" spans="2:51" ht="15.75">
      <c r="K167" s="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F167" s="717"/>
      <c r="AJ167" s="20"/>
      <c r="AK167" s="363"/>
      <c r="AM167" s="20"/>
      <c r="AN167" s="20"/>
      <c r="AP167" s="43"/>
      <c r="AT167" s="13"/>
    </row>
    <row r="168" spans="2:51">
      <c r="D168" s="5" t="s">
        <v>286</v>
      </c>
      <c r="K168" s="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F168" s="718"/>
    </row>
    <row r="169" spans="2:51" ht="16.5" customHeight="1">
      <c r="B169" s="19" t="s">
        <v>956</v>
      </c>
      <c r="D169"/>
      <c r="E169"/>
      <c r="I169"/>
      <c r="J169"/>
      <c r="K169" s="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5"/>
      <c r="AJ169" s="20"/>
      <c r="AK169" s="20"/>
      <c r="AM169" s="20"/>
      <c r="AN169" s="20"/>
      <c r="AP169" s="4"/>
    </row>
    <row r="170" spans="2:51" ht="17.25" customHeight="1">
      <c r="C170" s="19" t="s">
        <v>282</v>
      </c>
      <c r="E170"/>
      <c r="F170"/>
      <c r="G170" s="19"/>
      <c r="H170" s="19"/>
      <c r="I170" s="13"/>
      <c r="J170" s="13"/>
      <c r="K170" s="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G170" s="364"/>
      <c r="AH170" s="365"/>
      <c r="AI170" s="366"/>
      <c r="AJ170" s="367"/>
      <c r="AK170" s="42"/>
      <c r="AL170" s="42"/>
      <c r="AM170" s="42"/>
      <c r="AN170" s="42"/>
      <c r="AO170" s="42"/>
      <c r="AP170" s="42"/>
      <c r="AQ170" s="364"/>
      <c r="AR170" s="364"/>
      <c r="AS170" s="698"/>
    </row>
    <row r="171" spans="2:51" ht="16.5" customHeight="1">
      <c r="B171" s="20" t="s">
        <v>510</v>
      </c>
      <c r="C171" s="13"/>
      <c r="D171"/>
      <c r="E171" s="20" t="s">
        <v>0</v>
      </c>
      <c r="F171"/>
      <c r="G171" s="2" t="s">
        <v>317</v>
      </c>
      <c r="H171" s="13"/>
      <c r="I171" s="13"/>
      <c r="J171" s="24"/>
      <c r="K171" s="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G171" s="49"/>
      <c r="AH171" s="49"/>
      <c r="AI171" s="49"/>
      <c r="AJ171" s="368"/>
      <c r="AK171" s="49"/>
      <c r="AL171" s="49"/>
      <c r="AM171" s="49"/>
      <c r="AN171" s="49"/>
      <c r="AO171" s="49"/>
      <c r="AP171" s="49"/>
      <c r="AQ171" s="49"/>
      <c r="AR171" s="49"/>
      <c r="AS171" s="49"/>
    </row>
    <row r="172" spans="2:51" ht="19.5" customHeight="1" thickBot="1">
      <c r="D172" s="23" t="s">
        <v>1</v>
      </c>
      <c r="K172" s="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G172" s="44"/>
      <c r="AH172" s="44"/>
      <c r="AI172" s="44"/>
      <c r="AJ172" s="111"/>
      <c r="AK172" s="44"/>
      <c r="AL172" s="44"/>
      <c r="AM172" s="44"/>
      <c r="AN172" s="44"/>
      <c r="AO172" s="44"/>
      <c r="AP172" s="44"/>
      <c r="AQ172" s="44"/>
      <c r="AR172" s="44"/>
      <c r="AS172" s="153"/>
    </row>
    <row r="173" spans="2:51" ht="15" customHeight="1" thickBot="1">
      <c r="B173" s="524" t="s">
        <v>250</v>
      </c>
      <c r="C173" s="99"/>
      <c r="D173" s="525" t="s">
        <v>251</v>
      </c>
      <c r="E173" s="397" t="s">
        <v>252</v>
      </c>
      <c r="F173" s="397"/>
      <c r="G173" s="397"/>
      <c r="H173" s="526" t="s">
        <v>253</v>
      </c>
      <c r="I173" s="527" t="s">
        <v>254</v>
      </c>
      <c r="J173" s="528" t="s">
        <v>255</v>
      </c>
      <c r="K173" s="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G173" s="705"/>
      <c r="AH173" s="705"/>
      <c r="AI173" s="705"/>
      <c r="AJ173" s="713"/>
      <c r="AK173" s="705"/>
      <c r="AL173" s="705"/>
      <c r="AM173" s="705"/>
      <c r="AN173" s="705"/>
      <c r="AO173" s="706"/>
      <c r="AP173" s="706"/>
      <c r="AQ173" s="705"/>
      <c r="AR173" s="705"/>
      <c r="AS173" s="705"/>
    </row>
    <row r="174" spans="2:51" ht="13.5" customHeight="1">
      <c r="B174" s="529" t="s">
        <v>256</v>
      </c>
      <c r="C174" s="530" t="s">
        <v>257</v>
      </c>
      <c r="D174" s="531" t="s">
        <v>258</v>
      </c>
      <c r="E174" s="532" t="s">
        <v>259</v>
      </c>
      <c r="F174" s="532" t="s">
        <v>63</v>
      </c>
      <c r="G174" s="532" t="s">
        <v>64</v>
      </c>
      <c r="H174" s="533" t="s">
        <v>260</v>
      </c>
      <c r="I174" s="534" t="s">
        <v>261</v>
      </c>
      <c r="J174" s="535" t="s">
        <v>262</v>
      </c>
      <c r="K174" s="3"/>
      <c r="U174" s="1"/>
      <c r="V174" s="1"/>
    </row>
    <row r="175" spans="2:51" ht="12" customHeight="1" thickBot="1">
      <c r="B175" s="536"/>
      <c r="C175" s="579"/>
      <c r="D175" s="537"/>
      <c r="E175" s="538" t="s">
        <v>6</v>
      </c>
      <c r="F175" s="538" t="s">
        <v>7</v>
      </c>
      <c r="G175" s="538" t="s">
        <v>8</v>
      </c>
      <c r="H175" s="539" t="s">
        <v>263</v>
      </c>
      <c r="I175" s="540" t="s">
        <v>264</v>
      </c>
      <c r="J175" s="541" t="s">
        <v>265</v>
      </c>
      <c r="K175" s="3"/>
      <c r="R175" s="19"/>
      <c r="U175" s="19"/>
      <c r="V175" s="19"/>
      <c r="W175" s="13"/>
      <c r="X175" s="13"/>
      <c r="Y175" s="13"/>
      <c r="Z175" s="13"/>
      <c r="AP175" s="43"/>
      <c r="AR175" s="43"/>
    </row>
    <row r="176" spans="2:51" ht="15" customHeight="1">
      <c r="B176" s="99"/>
      <c r="C176" s="774" t="s">
        <v>199</v>
      </c>
      <c r="D176" s="543"/>
      <c r="E176" s="544"/>
      <c r="F176" s="545"/>
      <c r="G176" s="545"/>
      <c r="H176" s="779"/>
      <c r="I176" s="587"/>
      <c r="J176" s="629"/>
      <c r="K176" s="3"/>
      <c r="M176" s="4"/>
      <c r="N176" s="4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J176" s="715"/>
      <c r="AR176" s="43"/>
    </row>
    <row r="177" spans="2:48" ht="13.5" customHeight="1">
      <c r="B177" s="550" t="s">
        <v>266</v>
      </c>
      <c r="C177" s="582" t="s">
        <v>363</v>
      </c>
      <c r="D177" s="561">
        <v>65</v>
      </c>
      <c r="E177" s="2392">
        <v>0.51700000000000002</v>
      </c>
      <c r="F177" s="380">
        <v>0.10829999999999999</v>
      </c>
      <c r="G177" s="380">
        <v>1.625</v>
      </c>
      <c r="H177" s="1384">
        <v>9.2080000000000002</v>
      </c>
      <c r="I177" s="219">
        <v>1</v>
      </c>
      <c r="J177" s="644" t="s">
        <v>687</v>
      </c>
      <c r="K177" s="3"/>
      <c r="L177" s="658"/>
      <c r="M177" s="436"/>
      <c r="N177"/>
      <c r="V177" s="20"/>
      <c r="X177" s="2"/>
      <c r="Y177" s="13"/>
      <c r="Z177" s="13"/>
      <c r="AA177" s="13"/>
      <c r="AD177" s="24"/>
      <c r="AE177" s="30"/>
    </row>
    <row r="178" spans="2:48" ht="18" customHeight="1">
      <c r="B178" s="553" t="s">
        <v>267</v>
      </c>
      <c r="C178" s="595" t="s">
        <v>218</v>
      </c>
      <c r="D178" s="239" t="s">
        <v>538</v>
      </c>
      <c r="E178" s="2392">
        <v>12.662000000000001</v>
      </c>
      <c r="F178" s="380">
        <v>11.856</v>
      </c>
      <c r="G178" s="380">
        <v>11.47</v>
      </c>
      <c r="H178" s="1384">
        <v>203.23320000000001</v>
      </c>
      <c r="I178" s="580">
        <v>68</v>
      </c>
      <c r="J178" s="552" t="s">
        <v>211</v>
      </c>
      <c r="K178" s="3"/>
      <c r="L178" s="733"/>
      <c r="M178" s="4"/>
      <c r="N178" s="9"/>
      <c r="U178" s="23"/>
      <c r="V178" s="19"/>
      <c r="W178" s="13"/>
      <c r="X178" s="13"/>
      <c r="Y178" s="13"/>
      <c r="Z178" s="13"/>
      <c r="AB178" s="18"/>
      <c r="AD178" s="2"/>
      <c r="AE178" s="32"/>
    </row>
    <row r="179" spans="2:48" ht="14.25" customHeight="1">
      <c r="B179" s="555" t="s">
        <v>13</v>
      </c>
      <c r="C179" s="595" t="s">
        <v>128</v>
      </c>
      <c r="D179" s="166" t="s">
        <v>539</v>
      </c>
      <c r="E179" s="2414">
        <v>2.2730000000000001</v>
      </c>
      <c r="F179" s="381">
        <v>6.72</v>
      </c>
      <c r="G179" s="2415">
        <v>23.11</v>
      </c>
      <c r="H179" s="1388">
        <v>162.012</v>
      </c>
      <c r="I179" s="589">
        <v>43</v>
      </c>
      <c r="J179" s="780" t="s">
        <v>487</v>
      </c>
      <c r="K179" s="3"/>
      <c r="L179" s="32"/>
      <c r="M179" s="4"/>
      <c r="N179" s="9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G179" s="32"/>
      <c r="AH179" s="4"/>
      <c r="AI179" s="9"/>
    </row>
    <row r="180" spans="2:48" ht="13.5" customHeight="1">
      <c r="B180" s="559" t="s">
        <v>271</v>
      </c>
      <c r="C180" s="878" t="s">
        <v>541</v>
      </c>
      <c r="D180" s="590"/>
      <c r="E180" s="1534">
        <v>2.14</v>
      </c>
      <c r="F180" s="2444">
        <v>3.64</v>
      </c>
      <c r="G180" s="147">
        <v>9.89</v>
      </c>
      <c r="H180" s="1466">
        <v>80.88</v>
      </c>
      <c r="I180" s="593"/>
      <c r="J180" s="781"/>
      <c r="K180" s="3"/>
      <c r="L180" s="32"/>
      <c r="M180" s="4"/>
      <c r="N180" s="9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G180" s="32"/>
      <c r="AH180" s="13"/>
      <c r="AI180" s="150"/>
      <c r="AJ180" s="44"/>
      <c r="AK180" s="44"/>
      <c r="AL180" s="44"/>
      <c r="AM180" s="111"/>
      <c r="AN180" s="44"/>
      <c r="AO180" s="44"/>
      <c r="AP180" s="44"/>
      <c r="AQ180" s="44"/>
      <c r="AR180" s="44"/>
      <c r="AS180" s="44"/>
      <c r="AT180" s="44"/>
      <c r="AU180" s="44"/>
      <c r="AV180" s="153"/>
    </row>
    <row r="181" spans="2:48" ht="14.25" customHeight="1">
      <c r="B181" s="89"/>
      <c r="C181" s="556" t="s">
        <v>585</v>
      </c>
      <c r="D181" s="561">
        <v>200</v>
      </c>
      <c r="E181" s="2392">
        <v>1</v>
      </c>
      <c r="F181" s="380">
        <v>0</v>
      </c>
      <c r="G181" s="380">
        <v>15.81</v>
      </c>
      <c r="H181" s="1384">
        <v>67.239999999999995</v>
      </c>
      <c r="I181" s="581">
        <v>76</v>
      </c>
      <c r="J181" s="558" t="s">
        <v>9</v>
      </c>
      <c r="K181" s="3"/>
      <c r="L181" s="32"/>
      <c r="M181" s="4"/>
      <c r="S181" s="653"/>
      <c r="T181" s="653"/>
      <c r="U181" s="653"/>
      <c r="V181" s="688"/>
      <c r="W181" s="688"/>
      <c r="X181" s="719"/>
      <c r="Y181" s="653"/>
      <c r="Z181" s="653"/>
      <c r="AA181" s="688"/>
      <c r="AB181" s="653"/>
      <c r="AC181" s="653"/>
      <c r="AD181" s="653"/>
      <c r="AE181" s="653"/>
      <c r="AG181" s="385"/>
      <c r="AH181" s="13"/>
      <c r="AI181" s="3"/>
      <c r="AJ181" s="44"/>
      <c r="AK181" s="152"/>
      <c r="AL181" s="44"/>
      <c r="AM181" s="111"/>
      <c r="AN181" s="44"/>
      <c r="AO181" s="44"/>
      <c r="AP181" s="44"/>
      <c r="AQ181" s="44"/>
      <c r="AR181" s="44"/>
      <c r="AS181" s="44"/>
      <c r="AT181" s="223"/>
      <c r="AU181" s="44"/>
      <c r="AV181" s="153"/>
    </row>
    <row r="182" spans="2:48" ht="14.25" customHeight="1">
      <c r="B182" s="89"/>
      <c r="C182" s="556" t="s">
        <v>11</v>
      </c>
      <c r="D182" s="561">
        <v>50</v>
      </c>
      <c r="E182" s="2392">
        <v>2.63</v>
      </c>
      <c r="F182" s="380">
        <v>0.35</v>
      </c>
      <c r="G182" s="380">
        <v>20.399999999999999</v>
      </c>
      <c r="H182" s="1384">
        <v>95.27</v>
      </c>
      <c r="I182" s="219">
        <v>11</v>
      </c>
      <c r="J182" s="558" t="s">
        <v>10</v>
      </c>
      <c r="K182" s="3"/>
      <c r="L182" s="32"/>
      <c r="M182" s="4"/>
      <c r="N182" s="9"/>
      <c r="S182" s="689"/>
      <c r="T182" s="689"/>
      <c r="U182" s="689"/>
      <c r="V182" s="689"/>
      <c r="W182" s="689"/>
      <c r="X182" s="689"/>
      <c r="Y182" s="689"/>
      <c r="Z182" s="689"/>
      <c r="AA182" s="689"/>
      <c r="AB182" s="689"/>
      <c r="AC182" s="689"/>
      <c r="AD182" s="689"/>
      <c r="AE182" s="689"/>
      <c r="AG182" s="385"/>
      <c r="AH182" s="13"/>
      <c r="AI182" s="22"/>
    </row>
    <row r="183" spans="2:48" ht="15.75" thickBot="1">
      <c r="B183" s="559"/>
      <c r="C183" s="573" t="s">
        <v>792</v>
      </c>
      <c r="D183" s="574">
        <v>30</v>
      </c>
      <c r="E183" s="2392">
        <v>1.6950000000000001</v>
      </c>
      <c r="F183" s="380">
        <v>0.36</v>
      </c>
      <c r="G183" s="380">
        <v>12.56</v>
      </c>
      <c r="H183" s="1298">
        <v>60.26</v>
      </c>
      <c r="I183" s="562">
        <v>12</v>
      </c>
      <c r="J183" s="558" t="s">
        <v>10</v>
      </c>
      <c r="K183" s="3"/>
      <c r="L183" s="32"/>
      <c r="M183" s="4"/>
      <c r="N183" s="9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G183" s="385"/>
      <c r="AH183" s="13"/>
      <c r="AI183" s="22"/>
    </row>
    <row r="184" spans="2:48">
      <c r="B184" s="565" t="s">
        <v>283</v>
      </c>
      <c r="D184" s="169">
        <f>D177+D181+D182+D183+110+10+110+70</f>
        <v>645</v>
      </c>
      <c r="E184" s="566">
        <f>SUM(E177:E183)</f>
        <v>22.916999999999998</v>
      </c>
      <c r="F184" s="1353">
        <f>SUM(F177:F183)</f>
        <v>23.034300000000002</v>
      </c>
      <c r="G184" s="567">
        <f>SUM(G177:G183)</f>
        <v>94.865000000000009</v>
      </c>
      <c r="H184" s="2486">
        <f>SUM(H177:H183)</f>
        <v>678.10320000000002</v>
      </c>
      <c r="I184" s="1023" t="s">
        <v>482</v>
      </c>
      <c r="J184" s="1020" t="s">
        <v>280</v>
      </c>
      <c r="K184" s="3"/>
      <c r="L184" s="32"/>
      <c r="M184" s="4"/>
      <c r="N184" s="9"/>
      <c r="S184" s="783"/>
      <c r="T184" s="19"/>
      <c r="U184" s="19"/>
      <c r="V184" s="19"/>
      <c r="W184" s="783"/>
      <c r="X184" s="783"/>
      <c r="Y184" s="784"/>
      <c r="Z184" s="1"/>
      <c r="AA184" s="44"/>
      <c r="AB184" s="223"/>
      <c r="AC184" s="152"/>
      <c r="AD184" s="44"/>
      <c r="AE184" s="44"/>
      <c r="AH184" s="40"/>
    </row>
    <row r="185" spans="2:48">
      <c r="B185" s="513"/>
      <c r="C185" s="2322" t="s">
        <v>12</v>
      </c>
      <c r="D185" s="2320">
        <v>0.25</v>
      </c>
      <c r="E185" s="2326">
        <v>22.5</v>
      </c>
      <c r="F185" s="2327">
        <v>23</v>
      </c>
      <c r="G185" s="2327">
        <v>95.75</v>
      </c>
      <c r="H185" s="2328">
        <v>680</v>
      </c>
      <c r="I185" s="1030">
        <f>H185-H184</f>
        <v>1.8967999999999847</v>
      </c>
      <c r="J185" s="2314" t="s">
        <v>938</v>
      </c>
      <c r="K185" s="3"/>
      <c r="L185" s="9"/>
      <c r="M185"/>
      <c r="N185" s="169"/>
      <c r="S185" s="175"/>
      <c r="T185" s="785"/>
      <c r="U185" s="785"/>
      <c r="V185" s="785"/>
      <c r="W185" s="175"/>
      <c r="X185" s="786"/>
      <c r="Y185" s="349"/>
      <c r="Z185" s="1"/>
      <c r="AA185" s="44"/>
      <c r="AB185" s="44"/>
      <c r="AC185" s="44"/>
      <c r="AD185" s="44"/>
      <c r="AE185" s="153"/>
      <c r="AG185" s="63"/>
      <c r="AH185" s="169"/>
    </row>
    <row r="186" spans="2:48" ht="15.75" thickBot="1">
      <c r="B186" s="237"/>
      <c r="C186" s="1347" t="s">
        <v>957</v>
      </c>
      <c r="D186" s="2323"/>
      <c r="E186" s="2421">
        <f>(E184*100/E209)-25</f>
        <v>0.46333333333333115</v>
      </c>
      <c r="F186" s="586">
        <f t="shared" ref="F186:G186" si="6">(F184*100/F209)-25</f>
        <v>3.7282608695655028E-2</v>
      </c>
      <c r="G186" s="586">
        <f t="shared" si="6"/>
        <v>-0.23107049608355013</v>
      </c>
      <c r="H186" s="2487">
        <f>(H184*100/H209)-25</f>
        <v>-6.9735294117645452E-2</v>
      </c>
      <c r="I186" s="2324"/>
      <c r="J186" s="2325"/>
      <c r="K186" s="3"/>
      <c r="L186" s="9"/>
      <c r="M186" s="436"/>
      <c r="N186" s="2579"/>
      <c r="S186" s="18"/>
      <c r="T186" s="787"/>
      <c r="U186" s="787"/>
      <c r="V186" s="787"/>
      <c r="W186" s="18"/>
      <c r="X186" s="349"/>
      <c r="Y186" s="349"/>
      <c r="Z186" s="1"/>
      <c r="AA186" s="153"/>
      <c r="AB186" s="153"/>
      <c r="AC186" s="153"/>
      <c r="AD186" s="153"/>
      <c r="AE186" s="153"/>
      <c r="AG186" s="119"/>
      <c r="AH186" s="116"/>
      <c r="AI186" s="46"/>
    </row>
    <row r="187" spans="2:48" ht="18" customHeight="1">
      <c r="B187" s="99"/>
      <c r="C187" s="542" t="s">
        <v>152</v>
      </c>
      <c r="D187" s="99"/>
      <c r="E187" s="194"/>
      <c r="F187" s="2447"/>
      <c r="G187" s="2447"/>
      <c r="H187" s="2447"/>
      <c r="I187" s="571"/>
      <c r="J187" s="571"/>
      <c r="K187" s="3"/>
      <c r="L187" s="44"/>
      <c r="M187" s="210"/>
      <c r="N187" s="44"/>
      <c r="S187" s="733"/>
      <c r="T187" s="44"/>
      <c r="U187" s="44"/>
      <c r="V187" s="44"/>
      <c r="W187" s="111"/>
      <c r="X187" s="722"/>
      <c r="Y187" s="788"/>
      <c r="Z187" s="1"/>
      <c r="AA187" s="44"/>
      <c r="AB187" s="44"/>
      <c r="AC187" s="44"/>
      <c r="AD187" s="44"/>
      <c r="AE187" s="153"/>
      <c r="AG187" s="32"/>
      <c r="AH187" s="4"/>
      <c r="AI187" s="8"/>
    </row>
    <row r="188" spans="2:48" ht="16.5" customHeight="1">
      <c r="B188" s="550" t="s">
        <v>266</v>
      </c>
      <c r="C188" s="256" t="s">
        <v>688</v>
      </c>
      <c r="D188" s="561">
        <v>60</v>
      </c>
      <c r="E188" s="2392">
        <v>1.3</v>
      </c>
      <c r="F188" s="380">
        <v>4.2</v>
      </c>
      <c r="G188" s="380">
        <v>6.8</v>
      </c>
      <c r="H188" s="1384">
        <v>71.400000000000006</v>
      </c>
      <c r="I188" s="557">
        <v>6</v>
      </c>
      <c r="J188" s="644" t="s">
        <v>636</v>
      </c>
      <c r="K188" s="3"/>
      <c r="L188" s="55"/>
      <c r="M188" s="169"/>
      <c r="N188"/>
      <c r="S188" s="9"/>
      <c r="T188" s="44"/>
      <c r="U188" s="44"/>
      <c r="V188" s="44"/>
      <c r="W188" s="789"/>
      <c r="X188" s="722"/>
      <c r="Y188" s="721"/>
      <c r="Z188" s="1"/>
      <c r="AA188" s="44"/>
      <c r="AB188" s="44"/>
      <c r="AC188" s="44"/>
      <c r="AD188" s="44"/>
      <c r="AE188" s="153"/>
      <c r="AG188" s="63"/>
      <c r="AH188" s="4"/>
    </row>
    <row r="189" spans="2:48">
      <c r="B189" s="553" t="s">
        <v>267</v>
      </c>
      <c r="C189" s="816" t="s">
        <v>191</v>
      </c>
      <c r="D189" s="239">
        <v>250</v>
      </c>
      <c r="E189" s="2392">
        <v>7.7649999999999997</v>
      </c>
      <c r="F189" s="380">
        <v>7.0129999999999999</v>
      </c>
      <c r="G189" s="380">
        <v>10.196999999999999</v>
      </c>
      <c r="H189" s="1384">
        <v>134.965</v>
      </c>
      <c r="I189" s="776">
        <v>18</v>
      </c>
      <c r="J189" s="549" t="s">
        <v>798</v>
      </c>
      <c r="K189" s="3"/>
      <c r="L189" s="2283"/>
      <c r="M189" s="116"/>
      <c r="N189" s="9"/>
      <c r="O189" s="44"/>
      <c r="S189" s="1"/>
      <c r="T189" s="153"/>
      <c r="U189" s="153"/>
      <c r="V189" s="153"/>
      <c r="W189" s="111"/>
      <c r="X189" s="790"/>
      <c r="Y189" s="40"/>
      <c r="Z189" s="1"/>
      <c r="AA189" s="46"/>
      <c r="AB189" s="214"/>
      <c r="AC189" s="204"/>
      <c r="AD189" s="46"/>
      <c r="AE189" s="66"/>
      <c r="AG189" s="32"/>
      <c r="AH189" s="62"/>
      <c r="AI189" s="48"/>
    </row>
    <row r="190" spans="2:48" ht="15.75">
      <c r="B190" s="555" t="s">
        <v>13</v>
      </c>
      <c r="C190" s="469" t="s">
        <v>376</v>
      </c>
      <c r="D190" s="551" t="s">
        <v>373</v>
      </c>
      <c r="E190" s="2415">
        <v>11.46</v>
      </c>
      <c r="F190" s="381">
        <v>11.951000000000001</v>
      </c>
      <c r="G190" s="2415">
        <v>9.4870000000000001</v>
      </c>
      <c r="H190" s="1384">
        <v>191.34700000000001</v>
      </c>
      <c r="I190" s="557">
        <v>60</v>
      </c>
      <c r="J190" s="552" t="s">
        <v>377</v>
      </c>
      <c r="K190" s="22"/>
      <c r="L190" s="32"/>
      <c r="M190" s="13"/>
      <c r="N190" s="9"/>
      <c r="S190" s="9"/>
      <c r="T190" s="44"/>
      <c r="U190" s="44"/>
      <c r="V190" s="44"/>
      <c r="W190" s="111"/>
      <c r="X190" s="722"/>
      <c r="Y190" s="721"/>
      <c r="Z190" s="1"/>
      <c r="AA190" s="1"/>
      <c r="AB190" s="1"/>
      <c r="AC190" s="1"/>
      <c r="AD190" s="1"/>
      <c r="AF190" s="32"/>
      <c r="AG190" s="32"/>
      <c r="AH190" s="4"/>
      <c r="AI190" s="8"/>
    </row>
    <row r="191" spans="2:48" ht="15.75">
      <c r="B191" s="559" t="s">
        <v>271</v>
      </c>
      <c r="C191" s="393" t="s">
        <v>334</v>
      </c>
      <c r="D191" s="592">
        <v>180</v>
      </c>
      <c r="E191" s="2415">
        <v>3.9632999999999998</v>
      </c>
      <c r="F191" s="381">
        <v>7.6539999999999999</v>
      </c>
      <c r="G191" s="2415">
        <v>35.24</v>
      </c>
      <c r="H191" s="1384">
        <v>225.69919999999999</v>
      </c>
      <c r="I191" s="580">
        <v>29</v>
      </c>
      <c r="J191" s="552" t="s">
        <v>362</v>
      </c>
      <c r="K191" s="1029"/>
      <c r="L191" s="32"/>
      <c r="M191" s="4"/>
      <c r="N191" s="9"/>
      <c r="O191" s="44"/>
      <c r="S191" s="9"/>
      <c r="T191" s="44"/>
      <c r="U191" s="44"/>
      <c r="V191" s="44"/>
      <c r="W191" s="111"/>
      <c r="X191" s="722"/>
      <c r="Y191" s="791"/>
      <c r="Z191" s="1"/>
      <c r="AA191" s="383"/>
      <c r="AB191" s="720"/>
      <c r="AC191" s="383"/>
      <c r="AD191" s="383"/>
      <c r="AE191" s="153"/>
      <c r="AF191" s="117"/>
      <c r="AG191" s="32"/>
      <c r="AH191" s="4"/>
      <c r="AI191" s="8"/>
    </row>
    <row r="192" spans="2:48">
      <c r="B192" s="89"/>
      <c r="C192" s="556" t="s">
        <v>219</v>
      </c>
      <c r="D192" s="561">
        <v>200</v>
      </c>
      <c r="E192" s="2392">
        <v>0.5</v>
      </c>
      <c r="F192" s="380">
        <v>0</v>
      </c>
      <c r="G192" s="380">
        <v>19.8</v>
      </c>
      <c r="H192" s="1384">
        <v>81</v>
      </c>
      <c r="I192" s="562">
        <v>78</v>
      </c>
      <c r="J192" s="558" t="s">
        <v>637</v>
      </c>
      <c r="K192" s="3"/>
      <c r="L192" s="721"/>
      <c r="M192" s="62"/>
      <c r="N192" s="66"/>
      <c r="S192" s="9"/>
      <c r="T192" s="44"/>
      <c r="U192" s="44"/>
      <c r="V192" s="44"/>
      <c r="W192" s="111"/>
      <c r="X192" s="722"/>
      <c r="Y192" s="721"/>
      <c r="Z192" s="1"/>
      <c r="AA192" s="44"/>
      <c r="AB192" s="223"/>
      <c r="AC192" s="44"/>
      <c r="AD192" s="44"/>
      <c r="AE192" s="153"/>
      <c r="AF192" s="32"/>
      <c r="AG192" s="32"/>
      <c r="AH192" s="4"/>
      <c r="AI192" s="8"/>
    </row>
    <row r="193" spans="2:46">
      <c r="B193" s="89"/>
      <c r="C193" s="582" t="s">
        <v>11</v>
      </c>
      <c r="D193" s="561">
        <v>60</v>
      </c>
      <c r="E193" s="2392">
        <v>3.16</v>
      </c>
      <c r="F193" s="380">
        <v>0.42</v>
      </c>
      <c r="G193" s="380">
        <v>24.48</v>
      </c>
      <c r="H193" s="1384">
        <v>114.34</v>
      </c>
      <c r="I193" s="562">
        <v>11</v>
      </c>
      <c r="J193" s="558" t="s">
        <v>10</v>
      </c>
      <c r="K193" s="3"/>
      <c r="L193"/>
      <c r="M193" s="4"/>
      <c r="N193" s="9"/>
      <c r="O193" s="805"/>
      <c r="S193" s="9"/>
      <c r="T193" s="44"/>
      <c r="U193" s="152"/>
      <c r="V193" s="44"/>
      <c r="W193" s="111"/>
      <c r="X193" s="360"/>
      <c r="Y193" s="733"/>
      <c r="Z193" s="1"/>
      <c r="AA193" s="153"/>
      <c r="AB193" s="147"/>
      <c r="AC193" s="153"/>
      <c r="AD193" s="701"/>
      <c r="AE193" s="153"/>
      <c r="AF193" s="32"/>
      <c r="AG193" s="32"/>
      <c r="AH193" s="4"/>
      <c r="AI193" s="8"/>
    </row>
    <row r="194" spans="2:46">
      <c r="B194" s="89"/>
      <c r="C194" s="556" t="s">
        <v>792</v>
      </c>
      <c r="D194" s="551">
        <v>40</v>
      </c>
      <c r="E194" s="2392">
        <v>2.2599999999999998</v>
      </c>
      <c r="F194" s="380">
        <v>0.48</v>
      </c>
      <c r="G194" s="380">
        <v>16.739999999999998</v>
      </c>
      <c r="H194" s="1388">
        <v>80.319999999999993</v>
      </c>
      <c r="I194" s="589">
        <v>12</v>
      </c>
      <c r="J194" s="552" t="s">
        <v>10</v>
      </c>
      <c r="K194" s="3"/>
      <c r="L194" s="45"/>
      <c r="M194" s="4"/>
      <c r="N194" s="9"/>
      <c r="O194" s="789"/>
      <c r="Z194" s="1"/>
      <c r="AA194" s="153"/>
      <c r="AB194" s="153"/>
      <c r="AC194" s="153"/>
      <c r="AD194" s="153"/>
      <c r="AE194" s="153"/>
      <c r="AF194" s="32"/>
      <c r="AG194" s="33"/>
      <c r="AH194" s="4"/>
      <c r="AI194" s="8"/>
    </row>
    <row r="195" spans="2:46" ht="15.75" thickBot="1">
      <c r="B195" s="871"/>
      <c r="C195" s="985" t="s">
        <v>1005</v>
      </c>
      <c r="D195" s="574">
        <v>110</v>
      </c>
      <c r="E195" s="2421">
        <v>0.44</v>
      </c>
      <c r="F195" s="586">
        <v>0.44</v>
      </c>
      <c r="G195" s="586">
        <v>10.78</v>
      </c>
      <c r="H195" s="2488">
        <v>51.7</v>
      </c>
      <c r="I195" s="627">
        <v>73</v>
      </c>
      <c r="J195" s="549" t="s">
        <v>1004</v>
      </c>
      <c r="K195" s="3"/>
      <c r="L195" s="45"/>
      <c r="M195" s="4"/>
      <c r="N195" s="9"/>
      <c r="O195" s="32"/>
      <c r="Z195" s="1"/>
      <c r="AA195" s="152"/>
      <c r="AB195" s="152"/>
      <c r="AC195" s="152"/>
      <c r="AD195" s="152"/>
      <c r="AE195" s="153"/>
      <c r="AF195" s="32"/>
      <c r="AH195" s="40"/>
    </row>
    <row r="196" spans="2:46">
      <c r="B196" s="565" t="s">
        <v>269</v>
      </c>
      <c r="C196" s="433"/>
      <c r="D196" s="169">
        <f>D188+D189+D191+D192+D193+D194+D195+50+50</f>
        <v>1000</v>
      </c>
      <c r="E196" s="575">
        <f>SUM(E188:E195)</f>
        <v>30.848299999999998</v>
      </c>
      <c r="F196" s="1353">
        <f>SUM(F188:F195)</f>
        <v>32.158000000000001</v>
      </c>
      <c r="G196" s="576">
        <f>SUM(G188:G195)</f>
        <v>133.524</v>
      </c>
      <c r="H196" s="2486">
        <f>SUM(H188:H195)</f>
        <v>950.77120000000014</v>
      </c>
      <c r="I196" s="1023" t="s">
        <v>482</v>
      </c>
      <c r="J196" s="1020" t="s">
        <v>280</v>
      </c>
      <c r="K196" s="3"/>
      <c r="L196" s="30"/>
      <c r="M196" s="4"/>
      <c r="N196" s="9"/>
      <c r="O196" s="789"/>
      <c r="Z196" s="1"/>
      <c r="AA196" s="44"/>
      <c r="AB196" s="44"/>
      <c r="AC196" s="44"/>
      <c r="AD196" s="44"/>
      <c r="AE196" s="153"/>
      <c r="AF196" s="32"/>
      <c r="AH196" s="169"/>
    </row>
    <row r="197" spans="2:46">
      <c r="B197" s="513"/>
      <c r="C197" s="2322" t="s">
        <v>12</v>
      </c>
      <c r="D197" s="2320">
        <v>0.35</v>
      </c>
      <c r="E197" s="2326">
        <v>31.5</v>
      </c>
      <c r="F197" s="2327">
        <v>32.200000000000003</v>
      </c>
      <c r="G197" s="2327">
        <v>134.05000000000001</v>
      </c>
      <c r="H197" s="2328">
        <v>952</v>
      </c>
      <c r="I197" s="2578">
        <f>H197-H196</f>
        <v>1.2287999999998647</v>
      </c>
      <c r="J197" s="2314" t="s">
        <v>938</v>
      </c>
      <c r="K197" s="3"/>
      <c r="L197" s="45"/>
      <c r="M197" s="433"/>
      <c r="N197" s="169"/>
      <c r="O197"/>
      <c r="Z197" s="1"/>
      <c r="AA197" s="44"/>
      <c r="AB197" s="44"/>
      <c r="AC197" s="44"/>
      <c r="AD197" s="44"/>
      <c r="AE197" s="153"/>
      <c r="AF197" s="32"/>
      <c r="AG197" s="32"/>
      <c r="AH197" s="4"/>
      <c r="AI197" s="183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</row>
    <row r="198" spans="2:46" ht="15.75" thickBot="1">
      <c r="B198" s="237"/>
      <c r="C198" s="1347" t="s">
        <v>957</v>
      </c>
      <c r="D198" s="2323"/>
      <c r="E198" s="2421">
        <f>(E196*100/E209)-35</f>
        <v>-0.72411111111111381</v>
      </c>
      <c r="F198" s="586">
        <f t="shared" ref="F198:G198" si="7">(F196*100/F209)-35</f>
        <v>-4.5652173913040883E-2</v>
      </c>
      <c r="G198" s="586">
        <f t="shared" si="7"/>
        <v>-0.13733681462141334</v>
      </c>
      <c r="H198" s="2487">
        <f>(H196*100/H209)-35</f>
        <v>-4.5176470588231155E-2</v>
      </c>
      <c r="I198" s="2324"/>
      <c r="J198" s="2325"/>
      <c r="K198" s="3"/>
      <c r="L198" s="45"/>
      <c r="M198" s="436"/>
      <c r="N198" s="2579"/>
      <c r="S198" s="9"/>
      <c r="T198" s="44"/>
      <c r="U198" s="44"/>
      <c r="V198" s="44"/>
      <c r="W198" s="111"/>
      <c r="X198" s="722"/>
      <c r="Y198" s="721"/>
      <c r="Z198" s="1"/>
      <c r="AA198" s="44"/>
      <c r="AB198" s="44"/>
      <c r="AC198" s="223"/>
      <c r="AD198" s="44"/>
      <c r="AE198" s="153"/>
      <c r="AG198" s="32"/>
      <c r="AH198" s="4"/>
      <c r="AI198" s="8"/>
    </row>
    <row r="199" spans="2:46">
      <c r="B199" s="550" t="s">
        <v>266</v>
      </c>
      <c r="C199" s="162" t="s">
        <v>324</v>
      </c>
      <c r="D199" s="99"/>
      <c r="E199" s="2446"/>
      <c r="F199" s="2447"/>
      <c r="G199" s="2447"/>
      <c r="H199" s="2447"/>
      <c r="I199" s="571"/>
      <c r="J199" s="590"/>
      <c r="K199" s="3"/>
      <c r="L199" s="45"/>
      <c r="M199" s="210"/>
      <c r="N199" s="44"/>
      <c r="S199" s="66"/>
      <c r="T199" s="44"/>
      <c r="U199" s="44"/>
      <c r="V199" s="44"/>
      <c r="W199" s="111"/>
      <c r="X199" s="722"/>
      <c r="Y199" s="721"/>
      <c r="Z199" s="1"/>
      <c r="AA199" s="46"/>
      <c r="AB199" s="214"/>
      <c r="AC199" s="46"/>
      <c r="AD199" s="46"/>
      <c r="AE199" s="66"/>
      <c r="AG199" s="44"/>
      <c r="AH199" s="4"/>
      <c r="AI199" s="8"/>
    </row>
    <row r="200" spans="2:46" ht="15.75">
      <c r="B200" s="553" t="s">
        <v>267</v>
      </c>
      <c r="C200" s="560" t="s">
        <v>491</v>
      </c>
      <c r="D200" s="561">
        <v>200</v>
      </c>
      <c r="E200" s="2392">
        <v>0.33300000000000002</v>
      </c>
      <c r="F200" s="380">
        <v>0.13300000000000001</v>
      </c>
      <c r="G200" s="380">
        <v>3.3420000000000001</v>
      </c>
      <c r="H200" s="1384">
        <f>G200*4+F200*9+E200*4</f>
        <v>15.897000000000002</v>
      </c>
      <c r="I200" s="557">
        <v>93</v>
      </c>
      <c r="J200" s="1272" t="s">
        <v>799</v>
      </c>
      <c r="L200" s="32"/>
      <c r="M200" s="169"/>
      <c r="N200"/>
      <c r="Z200" s="1"/>
      <c r="AA200" s="714"/>
      <c r="AB200" s="434"/>
      <c r="AC200" s="434"/>
      <c r="AD200" s="435"/>
      <c r="AE200" s="435"/>
      <c r="AF200" s="117"/>
      <c r="AJ200" s="20"/>
      <c r="AK200" s="363"/>
      <c r="AM200" s="20"/>
      <c r="AN200" s="20"/>
      <c r="AP200" s="43"/>
      <c r="AT200" s="13"/>
    </row>
    <row r="201" spans="2:46" ht="15.75">
      <c r="B201" s="555" t="s">
        <v>13</v>
      </c>
      <c r="C201" s="2381" t="s">
        <v>967</v>
      </c>
      <c r="D201" s="551">
        <v>100</v>
      </c>
      <c r="E201" s="2414">
        <v>6.4249999999999998</v>
      </c>
      <c r="F201" s="381">
        <v>5.4109999999999996</v>
      </c>
      <c r="G201" s="2415">
        <v>19.401</v>
      </c>
      <c r="H201" s="1384">
        <v>152.00299999999999</v>
      </c>
      <c r="I201" s="589">
        <v>69</v>
      </c>
      <c r="J201" s="780" t="s">
        <v>210</v>
      </c>
      <c r="K201" s="22"/>
      <c r="L201" s="1486"/>
      <c r="M201" s="4"/>
      <c r="N201" s="9"/>
      <c r="Z201" s="1"/>
      <c r="AA201" s="432"/>
      <c r="AB201" s="432"/>
      <c r="AC201" s="437"/>
      <c r="AD201" s="437"/>
      <c r="AE201" s="438"/>
      <c r="AF201" s="45"/>
    </row>
    <row r="202" spans="2:46" ht="15.75">
      <c r="B202" s="559"/>
      <c r="C202" s="582" t="s">
        <v>11</v>
      </c>
      <c r="D202" s="561">
        <v>30</v>
      </c>
      <c r="E202" s="2392">
        <v>1.58</v>
      </c>
      <c r="F202" s="380">
        <v>0.21</v>
      </c>
      <c r="G202" s="380">
        <v>12.24</v>
      </c>
      <c r="H202" s="1384">
        <v>57.17</v>
      </c>
      <c r="I202" s="562">
        <v>11</v>
      </c>
      <c r="J202" s="558" t="s">
        <v>10</v>
      </c>
      <c r="K202" s="1029"/>
      <c r="L202" s="32"/>
      <c r="M202" s="4"/>
      <c r="N202" s="9"/>
      <c r="S202" s="9"/>
      <c r="T202" s="153"/>
      <c r="U202" s="430"/>
      <c r="V202" s="153"/>
      <c r="W202" s="789"/>
      <c r="X202" s="815"/>
      <c r="Y202" s="721"/>
      <c r="Z202" s="1"/>
      <c r="AA202" s="1"/>
      <c r="AB202" s="1"/>
      <c r="AC202" s="1"/>
      <c r="AD202" s="1"/>
      <c r="AF202" s="44"/>
      <c r="AJ202" s="20"/>
      <c r="AK202" s="20"/>
      <c r="AM202" s="20"/>
      <c r="AN202" s="20"/>
      <c r="AP202" s="4"/>
    </row>
    <row r="203" spans="2:46" ht="18" customHeight="1" thickBot="1">
      <c r="B203" s="559" t="s">
        <v>271</v>
      </c>
      <c r="C203" s="241" t="s">
        <v>395</v>
      </c>
      <c r="D203" s="561">
        <v>21</v>
      </c>
      <c r="E203" s="2392">
        <v>1.91</v>
      </c>
      <c r="F203" s="380">
        <v>4.5359999999999996</v>
      </c>
      <c r="G203" s="380">
        <v>5.0039999999999996</v>
      </c>
      <c r="H203" s="1466">
        <v>51.134</v>
      </c>
      <c r="I203" s="1281">
        <v>13</v>
      </c>
      <c r="J203" s="558" t="s">
        <v>10</v>
      </c>
      <c r="K203" s="3"/>
      <c r="L203" s="44"/>
      <c r="M203" s="4"/>
      <c r="N203" s="9"/>
      <c r="S203" s="9"/>
      <c r="T203" s="44"/>
      <c r="U203" s="44"/>
      <c r="V203" s="44"/>
      <c r="W203" s="789"/>
      <c r="X203" s="815"/>
      <c r="Y203" s="721"/>
      <c r="Z203" s="1"/>
      <c r="AA203" s="1"/>
      <c r="AB203" s="1"/>
      <c r="AC203" s="1"/>
      <c r="AD203" s="1"/>
      <c r="AF203" s="32"/>
      <c r="AG203" s="364"/>
      <c r="AH203" s="365"/>
      <c r="AI203" s="366"/>
      <c r="AJ203" s="367"/>
      <c r="AK203" s="42"/>
      <c r="AL203" s="42"/>
      <c r="AM203" s="42"/>
      <c r="AN203" s="42"/>
      <c r="AO203" s="42"/>
      <c r="AP203" s="42"/>
      <c r="AQ203" s="364"/>
      <c r="AR203" s="364"/>
      <c r="AS203" s="698"/>
    </row>
    <row r="204" spans="2:46" ht="14.25" customHeight="1">
      <c r="B204" s="565" t="s">
        <v>357</v>
      </c>
      <c r="C204" s="34"/>
      <c r="D204" s="1282">
        <f>SUM(D200:D203)</f>
        <v>351</v>
      </c>
      <c r="E204" s="575">
        <f>SUM(E200:E203)</f>
        <v>10.248000000000001</v>
      </c>
      <c r="F204" s="1353">
        <f>SUM(F200:F203)</f>
        <v>10.29</v>
      </c>
      <c r="G204" s="576">
        <f>SUM(G200:G203)</f>
        <v>39.986999999999995</v>
      </c>
      <c r="H204" s="2486">
        <f>SUM(H200:H203)</f>
        <v>276.20400000000001</v>
      </c>
      <c r="I204" s="1280" t="s">
        <v>482</v>
      </c>
      <c r="J204" s="1020" t="s">
        <v>280</v>
      </c>
      <c r="K204" s="3"/>
      <c r="L204" s="44"/>
      <c r="M204" s="4"/>
      <c r="N204" s="9"/>
      <c r="S204" s="9"/>
      <c r="T204" s="44"/>
      <c r="U204" s="44"/>
      <c r="V204" s="222"/>
      <c r="W204" s="789"/>
      <c r="X204" s="722"/>
      <c r="Y204" s="721"/>
      <c r="Z204" s="1"/>
      <c r="AA204" s="1"/>
      <c r="AB204" s="1"/>
      <c r="AC204" s="1"/>
      <c r="AD204" s="1"/>
      <c r="AF204" s="32"/>
      <c r="AG204" s="49"/>
      <c r="AH204" s="49"/>
      <c r="AI204" s="49"/>
      <c r="AJ204" s="368"/>
      <c r="AK204" s="49"/>
      <c r="AL204" s="49"/>
      <c r="AM204" s="49"/>
      <c r="AN204" s="49"/>
      <c r="AO204" s="49"/>
      <c r="AP204" s="49"/>
      <c r="AQ204" s="49"/>
      <c r="AR204" s="49"/>
      <c r="AS204" s="49"/>
    </row>
    <row r="205" spans="2:46" ht="12.75" customHeight="1">
      <c r="B205" s="513"/>
      <c r="C205" s="2322" t="s">
        <v>12</v>
      </c>
      <c r="D205" s="2320">
        <v>0.1</v>
      </c>
      <c r="E205" s="2326">
        <v>9</v>
      </c>
      <c r="F205" s="2327">
        <v>9.1999999999999993</v>
      </c>
      <c r="G205" s="2327">
        <v>38.299999999999997</v>
      </c>
      <c r="H205" s="2328">
        <v>272</v>
      </c>
      <c r="I205" s="2574">
        <f>H205-H204</f>
        <v>-4.2040000000000077</v>
      </c>
      <c r="J205" s="2314" t="s">
        <v>938</v>
      </c>
      <c r="K205" s="3"/>
      <c r="M205" s="433"/>
      <c r="N205" s="925"/>
      <c r="S205" s="1"/>
      <c r="T205" s="153"/>
      <c r="U205" s="153"/>
      <c r="V205" s="153"/>
      <c r="W205" s="789"/>
      <c r="X205" s="3"/>
      <c r="Y205" s="40"/>
      <c r="Z205" s="1"/>
      <c r="AA205" s="688"/>
      <c r="AB205" s="653"/>
      <c r="AC205" s="653"/>
      <c r="AD205" s="653"/>
      <c r="AE205" s="653"/>
      <c r="AF205" s="32"/>
      <c r="AG205" s="153"/>
      <c r="AH205" s="430"/>
      <c r="AI205" s="153"/>
      <c r="AJ205" s="111"/>
      <c r="AK205" s="153"/>
      <c r="AL205" s="153"/>
      <c r="AM205" s="147"/>
      <c r="AN205" s="430"/>
      <c r="AO205" s="153"/>
      <c r="AP205" s="147"/>
      <c r="AQ205" s="153"/>
      <c r="AR205" s="701"/>
      <c r="AS205" s="153"/>
    </row>
    <row r="206" spans="2:46" ht="15.75" thickBot="1">
      <c r="B206" s="237"/>
      <c r="C206" s="1347" t="s">
        <v>957</v>
      </c>
      <c r="D206" s="2323"/>
      <c r="E206" s="2421">
        <f>(E204*100/E209)-10</f>
        <v>1.3866666666666685</v>
      </c>
      <c r="F206" s="586">
        <f t="shared" ref="F206:G206" si="8">(F204*100/F209)-10</f>
        <v>1.1847826086956523</v>
      </c>
      <c r="G206" s="586">
        <f t="shared" si="8"/>
        <v>0.44046997389033749</v>
      </c>
      <c r="H206" s="2487">
        <f>(H204*100/H209)-10</f>
        <v>0.15455882352941153</v>
      </c>
      <c r="I206" s="2324"/>
      <c r="J206" s="2325"/>
      <c r="K206" s="3"/>
      <c r="M206" s="40"/>
      <c r="N206"/>
      <c r="P206"/>
      <c r="Y206" s="1"/>
      <c r="Z206" s="1"/>
      <c r="AA206" s="689"/>
      <c r="AB206" s="689"/>
      <c r="AC206" s="689"/>
      <c r="AD206" s="689"/>
      <c r="AE206" s="689"/>
      <c r="AF206" s="32"/>
      <c r="AG206" s="705"/>
      <c r="AH206" s="705"/>
      <c r="AI206" s="705"/>
      <c r="AJ206" s="713"/>
      <c r="AK206" s="705"/>
      <c r="AL206" s="705"/>
      <c r="AM206" s="705"/>
      <c r="AN206" s="705"/>
      <c r="AO206" s="706"/>
      <c r="AP206" s="706"/>
      <c r="AQ206" s="705"/>
      <c r="AR206" s="705"/>
      <c r="AS206" s="705"/>
    </row>
    <row r="207" spans="2:46" ht="15.75" thickBot="1">
      <c r="E207" s="194"/>
      <c r="F207" s="194"/>
      <c r="G207" s="194"/>
      <c r="H207" s="194"/>
      <c r="K207" s="22"/>
      <c r="M207" s="4"/>
      <c r="N207" s="9"/>
      <c r="P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F207" s="30"/>
    </row>
    <row r="208" spans="2:46" ht="13.5" customHeight="1">
      <c r="B208" s="2331"/>
      <c r="C208" s="2332"/>
      <c r="D208" s="2333"/>
      <c r="E208" s="2489" t="s">
        <v>6</v>
      </c>
      <c r="F208" s="2490" t="s">
        <v>7</v>
      </c>
      <c r="G208" s="2490" t="s">
        <v>8</v>
      </c>
      <c r="H208" s="2491" t="s">
        <v>958</v>
      </c>
      <c r="I208" s="2334"/>
      <c r="J208" s="2333"/>
      <c r="K208" s="624"/>
      <c r="M208" s="653"/>
      <c r="N208" s="689"/>
      <c r="P208" s="32"/>
      <c r="S208" s="1"/>
      <c r="T208" s="1"/>
      <c r="U208" s="1"/>
      <c r="V208" s="1"/>
      <c r="W208" s="1"/>
      <c r="X208" s="1"/>
      <c r="Y208" s="1"/>
      <c r="Z208" s="1"/>
      <c r="AA208" s="153"/>
      <c r="AB208" s="153"/>
      <c r="AC208" s="153"/>
      <c r="AD208" s="153"/>
      <c r="AE208" s="119"/>
      <c r="AP208" s="43"/>
      <c r="AR208" s="43"/>
    </row>
    <row r="209" spans="2:44" ht="13.5" customHeight="1" thickBot="1">
      <c r="B209" s="2335"/>
      <c r="C209" s="2336" t="s">
        <v>959</v>
      </c>
      <c r="D209" s="2337">
        <v>1</v>
      </c>
      <c r="E209" s="2492">
        <v>90</v>
      </c>
      <c r="F209" s="2493">
        <v>92</v>
      </c>
      <c r="G209" s="2494">
        <v>383</v>
      </c>
      <c r="H209" s="2495">
        <v>2720</v>
      </c>
      <c r="I209" s="2338" t="s">
        <v>960</v>
      </c>
      <c r="J209" s="2339"/>
      <c r="K209" s="3"/>
      <c r="M209" s="4"/>
      <c r="N209" s="9"/>
      <c r="P209"/>
      <c r="S209" s="1"/>
      <c r="T209" s="1"/>
      <c r="U209" s="1"/>
      <c r="V209" s="1"/>
      <c r="W209" s="1"/>
      <c r="X209" s="1"/>
      <c r="Y209" s="1"/>
      <c r="Z209" s="1"/>
      <c r="AA209" s="153"/>
      <c r="AB209" s="153"/>
      <c r="AC209" s="153"/>
      <c r="AD209" s="153"/>
      <c r="AE209" s="63"/>
      <c r="AJ209" s="715"/>
      <c r="AR209" s="43"/>
    </row>
    <row r="210" spans="2:44" ht="12.75" customHeight="1" thickBot="1">
      <c r="B210" s="88"/>
      <c r="C210" s="68"/>
      <c r="D210" s="31"/>
      <c r="E210" s="2496"/>
      <c r="F210" s="2496"/>
      <c r="G210" s="2496"/>
      <c r="H210" s="2496"/>
      <c r="I210" s="210"/>
      <c r="J210" s="169"/>
      <c r="K210" s="3"/>
      <c r="L210"/>
      <c r="M210" s="40"/>
      <c r="N210"/>
      <c r="P210" s="385"/>
      <c r="Q210" s="782"/>
      <c r="S210" s="783"/>
      <c r="T210" s="19"/>
      <c r="U210" s="19"/>
      <c r="V210" s="19"/>
      <c r="W210" s="783"/>
      <c r="X210" s="783"/>
      <c r="Y210" s="784"/>
      <c r="Z210" s="1"/>
      <c r="AA210" s="44"/>
      <c r="AB210" s="44"/>
      <c r="AC210" s="44"/>
      <c r="AD210" s="44"/>
      <c r="AE210" s="153"/>
      <c r="AF210" s="44"/>
      <c r="AG210" s="32"/>
      <c r="AH210" s="4"/>
      <c r="AI210" s="8"/>
    </row>
    <row r="211" spans="2:44" ht="17.25" customHeight="1">
      <c r="B211" s="1021"/>
      <c r="C211" s="34" t="s">
        <v>481</v>
      </c>
      <c r="D211" s="35"/>
      <c r="E211" s="145">
        <f>E184+E196</f>
        <v>53.765299999999996</v>
      </c>
      <c r="F211" s="243">
        <f>F184+F196</f>
        <v>55.192300000000003</v>
      </c>
      <c r="G211" s="243">
        <f>G184+G196</f>
        <v>228.38900000000001</v>
      </c>
      <c r="H211" s="1024">
        <f>H184+H196</f>
        <v>1628.8744000000002</v>
      </c>
      <c r="I211" s="1280" t="s">
        <v>482</v>
      </c>
      <c r="J211" s="1020" t="s">
        <v>280</v>
      </c>
      <c r="K211" s="3"/>
      <c r="L211" s="1481"/>
      <c r="M211" s="40"/>
      <c r="N211" s="1140"/>
      <c r="P211" s="32"/>
      <c r="Q211" s="175"/>
      <c r="R211" s="18"/>
      <c r="S211" s="175"/>
      <c r="T211" s="785"/>
      <c r="U211" s="785"/>
      <c r="V211" s="785"/>
      <c r="W211" s="175"/>
      <c r="X211" s="786"/>
      <c r="Y211" s="349"/>
      <c r="Z211" s="1"/>
      <c r="AA211" s="44"/>
      <c r="AB211" s="44"/>
      <c r="AC211" s="44"/>
      <c r="AD211" s="44"/>
      <c r="AE211" s="153"/>
      <c r="AF211" s="32"/>
      <c r="AG211" s="21"/>
      <c r="AH211" s="16"/>
      <c r="AI211" s="17"/>
    </row>
    <row r="212" spans="2:44">
      <c r="B212" s="513"/>
      <c r="C212" s="2322" t="s">
        <v>12</v>
      </c>
      <c r="D212" s="2320">
        <v>0.6</v>
      </c>
      <c r="E212" s="2340">
        <v>54</v>
      </c>
      <c r="F212" s="2341">
        <v>55.2</v>
      </c>
      <c r="G212" s="2341">
        <v>229.8</v>
      </c>
      <c r="H212" s="2342">
        <v>1632</v>
      </c>
      <c r="I212" s="2346">
        <f>H212-H211</f>
        <v>3.1255999999998494</v>
      </c>
      <c r="J212" s="2314" t="s">
        <v>938</v>
      </c>
      <c r="K212" s="3"/>
      <c r="P212" s="55"/>
      <c r="Q212" s="785"/>
      <c r="R212" s="94"/>
      <c r="S212" s="18"/>
      <c r="T212" s="787"/>
      <c r="U212" s="787"/>
      <c r="V212" s="787"/>
      <c r="W212" s="18"/>
      <c r="X212" s="349"/>
      <c r="Y212" s="349"/>
      <c r="Z212" s="1"/>
      <c r="AA212" s="44"/>
      <c r="AB212" s="44"/>
      <c r="AC212" s="44"/>
      <c r="AD212" s="44"/>
      <c r="AE212" s="153"/>
      <c r="AF212" s="32"/>
      <c r="AH212" s="169"/>
    </row>
    <row r="213" spans="2:44" ht="15.75" thickBot="1">
      <c r="B213" s="237"/>
      <c r="C213" s="1347" t="s">
        <v>957</v>
      </c>
      <c r="D213" s="2323"/>
      <c r="E213" s="2421">
        <f>(E211*100/E209)-60</f>
        <v>-0.26077777777778266</v>
      </c>
      <c r="F213" s="586">
        <f t="shared" ref="F213:G213" si="9">(F211*100/F209)-60</f>
        <v>-8.3695652173858548E-3</v>
      </c>
      <c r="G213" s="586">
        <f t="shared" si="9"/>
        <v>-0.36840731070495991</v>
      </c>
      <c r="H213" s="2487">
        <f>(H211*100/H209)-60</f>
        <v>-0.11491176470588016</v>
      </c>
      <c r="I213" s="2575"/>
      <c r="J213" s="2325"/>
      <c r="K213" s="3"/>
      <c r="P213" s="32"/>
      <c r="R213" s="169"/>
      <c r="S213" s="9"/>
      <c r="T213" s="44"/>
      <c r="U213" s="44"/>
      <c r="V213" s="44"/>
      <c r="W213" s="111"/>
      <c r="X213" s="722"/>
      <c r="Y213" s="788"/>
      <c r="Z213" s="1"/>
      <c r="AA213" s="44"/>
      <c r="AB213" s="44"/>
      <c r="AC213" s="223"/>
      <c r="AD213" s="44"/>
      <c r="AE213" s="153"/>
      <c r="AF213" s="32"/>
      <c r="AG213" s="30"/>
      <c r="AH213" s="4"/>
      <c r="AI213" s="9"/>
    </row>
    <row r="214" spans="2:44" ht="12.75" customHeight="1" thickBot="1">
      <c r="E214" s="194"/>
      <c r="F214" s="194"/>
      <c r="G214" s="194"/>
      <c r="H214" s="194"/>
      <c r="I214" s="194"/>
      <c r="K214" s="3"/>
      <c r="P214" s="32"/>
      <c r="Q214" s="169"/>
      <c r="R214" s="4"/>
      <c r="S214" s="9"/>
      <c r="T214" s="44"/>
      <c r="U214" s="44"/>
      <c r="V214" s="44"/>
      <c r="W214" s="111"/>
      <c r="X214" s="722"/>
      <c r="Y214" s="721"/>
      <c r="Z214" s="1"/>
      <c r="AA214" s="46"/>
      <c r="AB214" s="214"/>
      <c r="AC214" s="204"/>
      <c r="AD214" s="46"/>
      <c r="AE214" s="66"/>
      <c r="AF214" s="32"/>
      <c r="AG214" s="32"/>
      <c r="AH214" s="4"/>
      <c r="AI214" s="9"/>
    </row>
    <row r="215" spans="2:44">
      <c r="B215" s="1021"/>
      <c r="C215" s="34" t="s">
        <v>480</v>
      </c>
      <c r="D215" s="47"/>
      <c r="E215" s="145">
        <f>E196+E204</f>
        <v>41.096299999999999</v>
      </c>
      <c r="F215" s="243">
        <f>F196+F204</f>
        <v>42.448</v>
      </c>
      <c r="G215" s="243">
        <f>G196+G204</f>
        <v>173.511</v>
      </c>
      <c r="H215" s="1024">
        <f>H196+H204</f>
        <v>1226.9752000000001</v>
      </c>
      <c r="I215" s="2576" t="s">
        <v>482</v>
      </c>
      <c r="J215" s="1020" t="s">
        <v>280</v>
      </c>
      <c r="K215" s="3"/>
      <c r="P215"/>
      <c r="Q215" s="768"/>
      <c r="R215" s="116"/>
      <c r="S215" s="66"/>
      <c r="T215" s="44"/>
      <c r="U215" s="152"/>
      <c r="V215" s="44"/>
      <c r="W215" s="111"/>
      <c r="X215" s="3"/>
      <c r="Y215" s="721"/>
      <c r="Z215" s="1"/>
      <c r="AA215" s="1"/>
      <c r="AB215" s="1"/>
      <c r="AC215" s="1"/>
      <c r="AD215" s="1"/>
      <c r="AF215" s="30"/>
      <c r="AG215" s="32"/>
      <c r="AH215" s="13"/>
      <c r="AI215" s="150"/>
    </row>
    <row r="216" spans="2:44">
      <c r="B216" s="513"/>
      <c r="C216" s="2322" t="s">
        <v>12</v>
      </c>
      <c r="D216" s="2320">
        <v>0.45</v>
      </c>
      <c r="E216" s="2326">
        <v>40.5</v>
      </c>
      <c r="F216" s="2327">
        <v>41.4</v>
      </c>
      <c r="G216" s="2327">
        <v>172.35</v>
      </c>
      <c r="H216" s="2328">
        <v>1224</v>
      </c>
      <c r="I216" s="2344">
        <f>H216-H215</f>
        <v>-2.9752000000000862</v>
      </c>
      <c r="J216" s="2314" t="s">
        <v>938</v>
      </c>
      <c r="K216" s="3"/>
      <c r="P216"/>
      <c r="R216" s="4"/>
      <c r="S216" s="9"/>
      <c r="T216" s="44"/>
      <c r="U216" s="44"/>
      <c r="V216" s="44"/>
      <c r="W216" s="111"/>
      <c r="X216" s="722"/>
      <c r="Y216" s="721"/>
      <c r="Z216" s="1"/>
      <c r="AA216" s="44"/>
      <c r="AB216" s="223"/>
      <c r="AC216" s="44"/>
      <c r="AD216" s="44"/>
      <c r="AE216" s="153"/>
      <c r="AG216" s="385"/>
      <c r="AH216" s="13"/>
      <c r="AI216" s="22"/>
    </row>
    <row r="217" spans="2:44" ht="12.75" customHeight="1" thickBot="1">
      <c r="B217" s="237"/>
      <c r="C217" s="1347" t="s">
        <v>957</v>
      </c>
      <c r="D217" s="2323"/>
      <c r="E217" s="2421">
        <f>(E215*100/E209)-45</f>
        <v>0.66255555555555645</v>
      </c>
      <c r="F217" s="586">
        <f t="shared" ref="F217:G217" si="10">(F215*100/F209)-45</f>
        <v>1.1391304347826079</v>
      </c>
      <c r="G217" s="586">
        <f t="shared" si="10"/>
        <v>0.30313315926892415</v>
      </c>
      <c r="H217" s="2487">
        <f>(H215*100/H209)-45</f>
        <v>0.10938235294117504</v>
      </c>
      <c r="I217" s="2575"/>
      <c r="J217" s="2325"/>
      <c r="K217" s="3"/>
      <c r="P217" s="45"/>
      <c r="Q217" s="797"/>
      <c r="R217" s="4"/>
      <c r="S217" s="9"/>
      <c r="T217" s="44"/>
      <c r="U217" s="44"/>
      <c r="V217" s="44"/>
      <c r="W217" s="111"/>
      <c r="X217" s="722"/>
      <c r="Y217" s="721"/>
      <c r="Z217" s="1"/>
      <c r="AA217" s="44"/>
      <c r="AB217" s="223"/>
      <c r="AC217" s="44"/>
      <c r="AD217" s="44"/>
      <c r="AE217" s="119"/>
      <c r="AG217" s="385"/>
      <c r="AH217" s="13"/>
      <c r="AI217" s="22"/>
    </row>
    <row r="218" spans="2:44" ht="13.5" customHeight="1" thickBot="1">
      <c r="E218" s="194"/>
      <c r="F218" s="194"/>
      <c r="G218" s="194"/>
      <c r="H218" s="194"/>
      <c r="I218" s="194"/>
      <c r="K218" s="3"/>
      <c r="P218" s="30"/>
      <c r="Q218" s="798"/>
      <c r="R218" s="4"/>
      <c r="S218" s="9"/>
      <c r="T218" s="44"/>
      <c r="U218" s="44"/>
      <c r="V218" s="44"/>
      <c r="W218" s="111"/>
      <c r="X218" s="722"/>
      <c r="Y218" s="721"/>
      <c r="Z218" s="1"/>
      <c r="AA218" s="153"/>
      <c r="AB218" s="147"/>
      <c r="AC218" s="153"/>
      <c r="AD218" s="701"/>
      <c r="AE218" s="153"/>
      <c r="AG218" s="33"/>
      <c r="AH218" s="4"/>
      <c r="AI218" s="9"/>
    </row>
    <row r="219" spans="2:44" ht="12.75" customHeight="1">
      <c r="B219" s="1021"/>
      <c r="C219" s="34" t="s">
        <v>358</v>
      </c>
      <c r="D219" s="35"/>
      <c r="E219" s="149">
        <f>E184+E196+E204</f>
        <v>64.013300000000001</v>
      </c>
      <c r="F219" s="109">
        <f>F184+F196+F204</f>
        <v>65.482300000000009</v>
      </c>
      <c r="G219" s="109">
        <f>G184+G196+G204</f>
        <v>268.37599999999998</v>
      </c>
      <c r="H219" s="244">
        <f>H184+H196+H204</f>
        <v>1905.0784000000001</v>
      </c>
      <c r="I219" s="2577" t="s">
        <v>482</v>
      </c>
      <c r="J219" s="1020" t="s">
        <v>280</v>
      </c>
      <c r="K219" s="3"/>
      <c r="P219" s="32"/>
      <c r="Q219" s="798"/>
      <c r="R219" s="4"/>
      <c r="S219" s="9"/>
      <c r="T219" s="44"/>
      <c r="U219" s="152"/>
      <c r="V219" s="44"/>
      <c r="W219" s="111"/>
      <c r="X219" s="360"/>
      <c r="Y219" s="733"/>
      <c r="Z219" s="1"/>
      <c r="AA219" s="153"/>
      <c r="AB219" s="153"/>
      <c r="AC219" s="153"/>
      <c r="AD219" s="153"/>
      <c r="AE219" s="153"/>
      <c r="AH219" s="40"/>
    </row>
    <row r="220" spans="2:44" ht="15.75" customHeight="1">
      <c r="B220" s="513"/>
      <c r="C220" s="2322" t="s">
        <v>12</v>
      </c>
      <c r="D220" s="2320">
        <v>0.7</v>
      </c>
      <c r="E220" s="2326">
        <v>63</v>
      </c>
      <c r="F220" s="2327">
        <v>64.400000000000006</v>
      </c>
      <c r="G220" s="2327">
        <v>268.10000000000002</v>
      </c>
      <c r="H220" s="2328">
        <v>1904</v>
      </c>
      <c r="I220" s="1030">
        <f>H220-H219</f>
        <v>-1.0784000000001015</v>
      </c>
      <c r="J220" s="2314" t="s">
        <v>938</v>
      </c>
      <c r="L220" s="63"/>
      <c r="M220" s="169"/>
      <c r="N220" s="3"/>
      <c r="P220" s="32"/>
      <c r="Q220" s="171"/>
      <c r="S220" s="8"/>
      <c r="T220" s="795"/>
      <c r="U220" s="795"/>
      <c r="V220" s="795"/>
      <c r="W220" s="796"/>
      <c r="X220" s="203"/>
      <c r="Y220" s="154"/>
      <c r="Z220" s="1"/>
      <c r="AA220" s="44"/>
      <c r="AB220" s="44"/>
      <c r="AC220" s="44"/>
      <c r="AD220" s="44"/>
      <c r="AE220" s="153"/>
      <c r="AG220" s="63"/>
      <c r="AH220" s="169"/>
    </row>
    <row r="221" spans="2:44" ht="15.75" thickBot="1">
      <c r="B221" s="237"/>
      <c r="C221" s="1347" t="s">
        <v>957</v>
      </c>
      <c r="D221" s="2323"/>
      <c r="E221" s="2421">
        <f>(E219*100/E209)-70</f>
        <v>1.1258888888888947</v>
      </c>
      <c r="F221" s="586">
        <f t="shared" ref="F221:H221" si="11">(F219*100/F209)-70</f>
        <v>1.1764130434782771</v>
      </c>
      <c r="G221" s="586">
        <f t="shared" si="11"/>
        <v>7.2062663185377573E-2</v>
      </c>
      <c r="H221" s="2487">
        <f t="shared" si="11"/>
        <v>3.9647058823533143E-2</v>
      </c>
      <c r="I221" s="2324"/>
      <c r="J221" s="2325"/>
      <c r="K221" s="3"/>
      <c r="L221" s="32"/>
      <c r="M221" s="4"/>
      <c r="N221" s="66"/>
      <c r="P221" s="44"/>
      <c r="S221" s="1"/>
      <c r="T221" s="1"/>
      <c r="U221" s="1"/>
      <c r="V221" s="1"/>
      <c r="W221" s="1"/>
      <c r="X221" s="210"/>
      <c r="Y221" s="169"/>
      <c r="Z221" s="1"/>
      <c r="AA221" s="44"/>
      <c r="AB221" s="44"/>
      <c r="AC221" s="44"/>
      <c r="AD221" s="44"/>
      <c r="AE221" s="153"/>
      <c r="AG221" s="119"/>
      <c r="AH221" s="116"/>
      <c r="AI221" s="150"/>
    </row>
    <row r="222" spans="2:44" ht="15" customHeight="1">
      <c r="D222" s="5"/>
      <c r="K222" s="3"/>
      <c r="L222" s="733"/>
      <c r="M222" s="4"/>
      <c r="N222" s="731"/>
      <c r="P222" s="45"/>
      <c r="R222" s="169"/>
      <c r="S222" s="3"/>
      <c r="T222" s="1"/>
      <c r="U222" s="1"/>
      <c r="V222" s="1"/>
      <c r="W222" s="1"/>
      <c r="X222" s="1"/>
      <c r="Y222" s="1"/>
      <c r="Z222" s="1"/>
      <c r="AA222" s="44"/>
      <c r="AB222" s="44"/>
      <c r="AC222" s="44"/>
      <c r="AD222" s="44"/>
      <c r="AE222" s="153"/>
      <c r="AG222" s="32"/>
      <c r="AH222" s="4"/>
      <c r="AI222" s="8"/>
    </row>
    <row r="223" spans="2:44" ht="16.5" customHeight="1">
      <c r="D223" s="5" t="s">
        <v>286</v>
      </c>
      <c r="K223" s="3"/>
      <c r="L223" s="2283"/>
      <c r="M223" s="4"/>
      <c r="N223" s="9"/>
      <c r="P223" s="377"/>
      <c r="R223" s="4"/>
      <c r="S223" s="9"/>
      <c r="T223" s="44"/>
      <c r="U223" s="44"/>
      <c r="V223" s="44"/>
      <c r="W223" s="111"/>
      <c r="X223" s="722"/>
      <c r="Y223" s="721"/>
      <c r="Z223" s="1"/>
      <c r="AA223" s="46"/>
      <c r="AB223" s="214"/>
      <c r="AC223" s="46"/>
      <c r="AD223" s="46"/>
      <c r="AE223" s="66"/>
      <c r="AG223" s="32"/>
      <c r="AH223" s="4"/>
      <c r="AI223" s="9"/>
    </row>
    <row r="224" spans="2:44" ht="16.5" customHeight="1">
      <c r="B224" s="19" t="s">
        <v>956</v>
      </c>
      <c r="D224"/>
      <c r="E224"/>
      <c r="I224"/>
      <c r="J224"/>
      <c r="K224" s="3"/>
      <c r="L224" s="2283"/>
      <c r="M224" s="4"/>
      <c r="N224" s="9"/>
      <c r="P224"/>
      <c r="R224" s="4"/>
      <c r="S224" s="9"/>
      <c r="T224" s="44"/>
      <c r="U224" s="44"/>
      <c r="V224" s="44"/>
      <c r="W224" s="111"/>
      <c r="X224" s="722"/>
      <c r="Y224" s="733"/>
      <c r="Z224" s="1"/>
      <c r="AA224" s="714"/>
      <c r="AB224" s="434"/>
      <c r="AC224" s="434"/>
      <c r="AD224" s="435"/>
      <c r="AE224" s="435"/>
      <c r="AG224" s="45"/>
      <c r="AH224" s="4"/>
      <c r="AI224" s="3"/>
    </row>
    <row r="225" spans="2:46" ht="15.75" customHeight="1">
      <c r="C225" s="19" t="s">
        <v>282</v>
      </c>
      <c r="E225"/>
      <c r="F225"/>
      <c r="G225" s="19"/>
      <c r="H225" s="19"/>
      <c r="I225" s="13"/>
      <c r="J225" s="13"/>
      <c r="K225" s="3"/>
      <c r="L225" s="1481"/>
      <c r="M225" s="40"/>
      <c r="N225" s="1140"/>
      <c r="P225" s="9"/>
      <c r="R225" s="4"/>
      <c r="S225" s="9"/>
      <c r="T225" s="44"/>
      <c r="U225" s="44"/>
      <c r="V225" s="44"/>
      <c r="W225" s="111"/>
      <c r="X225" s="722"/>
      <c r="Y225" s="721"/>
      <c r="Z225" s="1"/>
      <c r="AA225" s="432"/>
      <c r="AB225" s="432"/>
      <c r="AC225" s="437"/>
      <c r="AD225" s="437"/>
      <c r="AE225" s="438"/>
      <c r="AG225" s="32"/>
      <c r="AH225" s="4"/>
      <c r="AI225" s="9"/>
    </row>
    <row r="226" spans="2:46" ht="18" customHeight="1">
      <c r="B226" s="20" t="s">
        <v>510</v>
      </c>
      <c r="C226" s="13"/>
      <c r="D226"/>
      <c r="E226" s="20" t="s">
        <v>0</v>
      </c>
      <c r="F226"/>
      <c r="G226" s="2" t="s">
        <v>317</v>
      </c>
      <c r="H226" s="13"/>
      <c r="I226" s="13"/>
      <c r="J226" s="24"/>
      <c r="K226" s="3"/>
      <c r="L226" s="63"/>
      <c r="M226" s="169"/>
      <c r="N226" s="3"/>
      <c r="P226"/>
      <c r="R226" s="4"/>
      <c r="S226" s="9"/>
      <c r="T226" s="44"/>
      <c r="U226" s="44"/>
      <c r="V226" s="44"/>
      <c r="W226" s="111"/>
      <c r="X226" s="722"/>
      <c r="Y226" s="721"/>
      <c r="Z226" s="1"/>
      <c r="AA226" s="22"/>
      <c r="AB226" s="22"/>
      <c r="AC226" s="22"/>
      <c r="AD226" s="22"/>
      <c r="AE226" s="22"/>
      <c r="AG226" s="32"/>
      <c r="AH226" s="4"/>
      <c r="AI226" s="9"/>
    </row>
    <row r="227" spans="2:46" ht="21.75" thickBot="1">
      <c r="D227" s="23" t="s">
        <v>1</v>
      </c>
      <c r="K227" s="3"/>
      <c r="L227" s="32"/>
      <c r="M227" s="4"/>
      <c r="N227" s="66"/>
      <c r="P227"/>
      <c r="R227" s="8"/>
      <c r="S227" s="9"/>
      <c r="T227" s="44"/>
      <c r="U227" s="44"/>
      <c r="V227" s="44"/>
      <c r="W227" s="111"/>
      <c r="X227" s="722"/>
      <c r="Y227" s="721"/>
      <c r="Z227" s="1"/>
      <c r="AA227" s="1"/>
      <c r="AB227" s="1"/>
      <c r="AC227" s="1"/>
      <c r="AD227" s="1"/>
      <c r="AG227" s="32"/>
      <c r="AH227" s="4"/>
      <c r="AI227" s="9"/>
    </row>
    <row r="228" spans="2:46" ht="15.75" thickBot="1">
      <c r="B228" s="524" t="s">
        <v>250</v>
      </c>
      <c r="C228" s="99"/>
      <c r="D228" s="525" t="s">
        <v>251</v>
      </c>
      <c r="E228" s="397" t="s">
        <v>252</v>
      </c>
      <c r="F228" s="397"/>
      <c r="G228" s="397"/>
      <c r="H228" s="526" t="s">
        <v>253</v>
      </c>
      <c r="I228" s="527" t="s">
        <v>254</v>
      </c>
      <c r="J228" s="528" t="s">
        <v>255</v>
      </c>
      <c r="K228" s="3"/>
      <c r="L228" s="32"/>
      <c r="M228" s="4"/>
      <c r="N228" s="9"/>
      <c r="P228"/>
      <c r="R228" s="4"/>
      <c r="S228" s="9"/>
      <c r="T228" s="44"/>
      <c r="U228" s="44"/>
      <c r="V228" s="44"/>
      <c r="W228" s="111"/>
      <c r="X228" s="722"/>
      <c r="Y228" s="721"/>
      <c r="Z228" s="1"/>
      <c r="AH228" s="40"/>
    </row>
    <row r="229" spans="2:46">
      <c r="B229" s="529" t="s">
        <v>256</v>
      </c>
      <c r="C229" s="530" t="s">
        <v>257</v>
      </c>
      <c r="D229" s="531" t="s">
        <v>258</v>
      </c>
      <c r="E229" s="532" t="s">
        <v>259</v>
      </c>
      <c r="F229" s="532" t="s">
        <v>63</v>
      </c>
      <c r="G229" s="532" t="s">
        <v>64</v>
      </c>
      <c r="H229" s="533" t="s">
        <v>260</v>
      </c>
      <c r="I229" s="534" t="s">
        <v>261</v>
      </c>
      <c r="J229" s="535" t="s">
        <v>262</v>
      </c>
      <c r="K229" s="3"/>
      <c r="L229"/>
      <c r="M229" s="4"/>
      <c r="N229"/>
      <c r="P229"/>
      <c r="Q229" s="171"/>
      <c r="R229" s="433"/>
      <c r="S229" s="8"/>
      <c r="T229" s="210"/>
      <c r="U229" s="210"/>
      <c r="V229" s="210"/>
      <c r="W229" s="799"/>
      <c r="X229" s="203"/>
      <c r="Y229" s="154"/>
      <c r="Z229" s="1"/>
    </row>
    <row r="230" spans="2:46" ht="15.75" thickBot="1">
      <c r="B230" s="536"/>
      <c r="C230" s="579"/>
      <c r="D230" s="537"/>
      <c r="E230" s="538" t="s">
        <v>6</v>
      </c>
      <c r="F230" s="538" t="s">
        <v>7</v>
      </c>
      <c r="G230" s="538" t="s">
        <v>8</v>
      </c>
      <c r="H230" s="539" t="s">
        <v>263</v>
      </c>
      <c r="I230" s="540" t="s">
        <v>264</v>
      </c>
      <c r="J230" s="541" t="s">
        <v>265</v>
      </c>
      <c r="K230" s="3"/>
      <c r="L230" s="32"/>
      <c r="M230" s="4"/>
      <c r="N230" s="9"/>
      <c r="P230"/>
      <c r="Q230" s="9"/>
      <c r="R230" s="433"/>
      <c r="S230" s="8"/>
      <c r="X230" s="210"/>
      <c r="Y230" s="169"/>
      <c r="Z230" s="1"/>
      <c r="AA230" s="1"/>
      <c r="AB230" s="1"/>
      <c r="AC230" s="1"/>
      <c r="AD230" s="1"/>
    </row>
    <row r="231" spans="2:46">
      <c r="B231" s="99"/>
      <c r="C231" s="774" t="s">
        <v>199</v>
      </c>
      <c r="D231" s="543"/>
      <c r="E231" s="544"/>
      <c r="F231" s="545"/>
      <c r="G231" s="545"/>
      <c r="H231" s="775"/>
      <c r="I231" s="587"/>
      <c r="J231" s="548"/>
      <c r="K231" s="3"/>
      <c r="L231" s="63"/>
      <c r="M231" s="169"/>
      <c r="N231" s="3"/>
      <c r="P231"/>
      <c r="R231" s="436"/>
      <c r="T231" s="438"/>
      <c r="U231" s="438"/>
      <c r="V231" s="438"/>
      <c r="W231" s="438"/>
      <c r="X231" s="210"/>
      <c r="Y231" s="1"/>
      <c r="Z231" s="1"/>
      <c r="AA231" s="13"/>
      <c r="AD231" s="24"/>
      <c r="AE231" s="30"/>
    </row>
    <row r="232" spans="2:46" ht="15.75">
      <c r="B232" s="550" t="s">
        <v>266</v>
      </c>
      <c r="C232" s="595" t="s">
        <v>217</v>
      </c>
      <c r="D232" s="551" t="s">
        <v>568</v>
      </c>
      <c r="E232" s="2414">
        <v>20.190999999999999</v>
      </c>
      <c r="F232" s="381">
        <v>15.021000000000001</v>
      </c>
      <c r="G232" s="2415">
        <v>61.786000000000001</v>
      </c>
      <c r="H232" s="1388">
        <v>463.09699999999998</v>
      </c>
      <c r="I232" s="589">
        <v>37</v>
      </c>
      <c r="J232" s="780" t="s">
        <v>15</v>
      </c>
      <c r="K232" s="3"/>
      <c r="L232" s="658"/>
      <c r="M232"/>
      <c r="N232"/>
      <c r="P2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46">
      <c r="B233" s="553"/>
      <c r="C233" s="594" t="s">
        <v>237</v>
      </c>
      <c r="D233" s="590"/>
      <c r="E233" s="1534"/>
      <c r="F233" s="2444"/>
      <c r="G233" s="147"/>
      <c r="H233" s="1466"/>
      <c r="I233" s="593"/>
      <c r="J233" s="781"/>
      <c r="K233" s="3"/>
      <c r="L233"/>
      <c r="M233" s="169"/>
      <c r="N233"/>
      <c r="P23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46">
      <c r="B234" s="553" t="s">
        <v>267</v>
      </c>
      <c r="C234" s="560" t="s">
        <v>16</v>
      </c>
      <c r="D234" s="561">
        <v>200</v>
      </c>
      <c r="E234" s="2459">
        <v>0.2</v>
      </c>
      <c r="F234" s="380">
        <v>0</v>
      </c>
      <c r="G234" s="380">
        <v>6.5</v>
      </c>
      <c r="H234" s="1298">
        <v>26.8</v>
      </c>
      <c r="I234" s="572">
        <v>90</v>
      </c>
      <c r="J234" s="1272" t="s">
        <v>639</v>
      </c>
      <c r="K234" s="3"/>
      <c r="L234" s="32"/>
      <c r="M234" s="4"/>
      <c r="N234" s="44"/>
      <c r="P234"/>
      <c r="S234" s="1"/>
      <c r="T234" s="1"/>
      <c r="U234" s="1"/>
      <c r="V234" s="1"/>
      <c r="W234" s="1"/>
      <c r="X234" s="1"/>
      <c r="Y234" s="1"/>
      <c r="Z234" s="1"/>
      <c r="AA234" s="14"/>
      <c r="AB234" s="13"/>
      <c r="AC234" s="13"/>
      <c r="AD234" s="13"/>
      <c r="AE234" s="13"/>
    </row>
    <row r="235" spans="2:46" ht="15.75">
      <c r="B235" s="555" t="s">
        <v>13</v>
      </c>
      <c r="C235" s="469" t="s">
        <v>310</v>
      </c>
      <c r="D235" s="583">
        <v>10</v>
      </c>
      <c r="E235" s="2392">
        <v>0.08</v>
      </c>
      <c r="F235" s="380">
        <v>7.25</v>
      </c>
      <c r="G235" s="380">
        <v>0.13</v>
      </c>
      <c r="H235" s="1384">
        <v>66.09</v>
      </c>
      <c r="I235" s="628">
        <v>9</v>
      </c>
      <c r="J235" s="584" t="s">
        <v>322</v>
      </c>
      <c r="K235" s="3"/>
      <c r="L235"/>
      <c r="M235" s="4"/>
      <c r="N235"/>
      <c r="P235"/>
      <c r="S235" s="1"/>
      <c r="T235" s="1"/>
      <c r="U235" s="1"/>
      <c r="V235" s="1"/>
      <c r="W235" s="1"/>
      <c r="X235" s="1"/>
      <c r="Y235" s="1"/>
      <c r="Z235" s="1"/>
      <c r="AA235" s="22"/>
      <c r="AB235" s="22"/>
      <c r="AC235" s="22"/>
      <c r="AD235" s="22"/>
      <c r="AE235" s="22"/>
    </row>
    <row r="236" spans="2:46">
      <c r="B236" s="559" t="s">
        <v>272</v>
      </c>
      <c r="C236" s="424" t="s">
        <v>11</v>
      </c>
      <c r="D236" s="561">
        <v>30</v>
      </c>
      <c r="E236" s="2392">
        <v>1.58</v>
      </c>
      <c r="F236" s="380">
        <v>0.21</v>
      </c>
      <c r="G236" s="380">
        <v>12.24</v>
      </c>
      <c r="H236" s="1384">
        <v>57.17</v>
      </c>
      <c r="I236" s="562">
        <v>11</v>
      </c>
      <c r="J236" s="558" t="s">
        <v>10</v>
      </c>
      <c r="K236" s="3"/>
      <c r="L236" s="32"/>
      <c r="M236" s="4"/>
      <c r="N236" s="66"/>
      <c r="P236"/>
      <c r="Q236" s="176"/>
      <c r="R236" s="171"/>
      <c r="V236" s="1"/>
      <c r="W236" s="1"/>
      <c r="Z236" s="1"/>
      <c r="AA236" s="1"/>
      <c r="AB236" s="1"/>
      <c r="AC236" s="1"/>
      <c r="AD236" s="1"/>
    </row>
    <row r="237" spans="2:46" ht="15.75" thickBot="1">
      <c r="B237" s="1295"/>
      <c r="C237" s="985" t="s">
        <v>1005</v>
      </c>
      <c r="D237" s="574">
        <v>130</v>
      </c>
      <c r="E237" s="2421">
        <v>0.52</v>
      </c>
      <c r="F237" s="586">
        <v>0.52</v>
      </c>
      <c r="G237" s="586">
        <v>12.74</v>
      </c>
      <c r="H237" s="2488">
        <v>63.45</v>
      </c>
      <c r="I237" s="627">
        <v>73</v>
      </c>
      <c r="J237" s="549" t="s">
        <v>1004</v>
      </c>
      <c r="K237" s="3"/>
      <c r="L237" s="55"/>
      <c r="M237" s="4"/>
      <c r="N237" s="9"/>
      <c r="P237"/>
      <c r="R237" s="19"/>
      <c r="S237" s="1"/>
      <c r="V237" s="19"/>
      <c r="W237" s="19"/>
      <c r="X237" s="13"/>
      <c r="Y237" s="13"/>
      <c r="Z237" s="1"/>
      <c r="AA237" s="44"/>
      <c r="AB237" s="44"/>
      <c r="AC237" s="44"/>
      <c r="AD237" s="44"/>
      <c r="AE237" s="153"/>
    </row>
    <row r="238" spans="2:46" ht="15.75">
      <c r="B238" s="565" t="s">
        <v>283</v>
      </c>
      <c r="D238" s="169">
        <f>D234+D235+D236+D237+195+5</f>
        <v>570</v>
      </c>
      <c r="E238" s="566">
        <f>SUM(E232:E237)</f>
        <v>22.570999999999994</v>
      </c>
      <c r="F238" s="1353">
        <f>SUM(F232:F237)</f>
        <v>23.001000000000001</v>
      </c>
      <c r="G238" s="567">
        <f>SUM(G232:G237)</f>
        <v>93.395999999999987</v>
      </c>
      <c r="H238" s="2486">
        <f>SUM(H232:H237)</f>
        <v>676.60699999999997</v>
      </c>
      <c r="I238" s="1286" t="s">
        <v>482</v>
      </c>
      <c r="J238" s="1020" t="s">
        <v>280</v>
      </c>
      <c r="K238" s="3"/>
      <c r="L238" s="32"/>
      <c r="M238" s="4"/>
      <c r="N238" s="66"/>
      <c r="P238"/>
      <c r="Q238" s="20"/>
      <c r="R238" s="13"/>
      <c r="T238" s="20"/>
      <c r="V238" s="2"/>
      <c r="W238" s="13"/>
      <c r="X238" s="13"/>
      <c r="Y238" s="24"/>
      <c r="Z238" s="1"/>
      <c r="AA238" s="44"/>
      <c r="AB238" s="44"/>
      <c r="AC238" s="44"/>
      <c r="AD238" s="44"/>
      <c r="AE238" s="153"/>
      <c r="AJ238" s="20"/>
      <c r="AK238" s="363"/>
      <c r="AM238" s="20"/>
      <c r="AN238" s="20"/>
      <c r="AP238" s="43"/>
      <c r="AT238" s="13"/>
    </row>
    <row r="239" spans="2:46" ht="15.75">
      <c r="B239" s="513"/>
      <c r="C239" s="2322" t="s">
        <v>12</v>
      </c>
      <c r="D239" s="2320">
        <v>0.25</v>
      </c>
      <c r="E239" s="2326">
        <v>22.5</v>
      </c>
      <c r="F239" s="2327">
        <v>23</v>
      </c>
      <c r="G239" s="2327">
        <v>95.75</v>
      </c>
      <c r="H239" s="2328">
        <v>680</v>
      </c>
      <c r="I239" s="1030">
        <f>H239-H238</f>
        <v>3.3930000000000291</v>
      </c>
      <c r="J239" s="2314" t="s">
        <v>938</v>
      </c>
      <c r="K239" s="3"/>
      <c r="L239" s="30"/>
      <c r="M239" s="4"/>
      <c r="N239" s="9"/>
      <c r="P239" s="20"/>
      <c r="Y239" s="13"/>
      <c r="Z239" s="1"/>
      <c r="AA239" s="44"/>
      <c r="AB239" s="44"/>
      <c r="AC239" s="44"/>
      <c r="AD239" s="44"/>
      <c r="AE239" s="153"/>
    </row>
    <row r="240" spans="2:46" ht="16.5" thickBot="1">
      <c r="B240" s="237"/>
      <c r="C240" s="1347" t="s">
        <v>957</v>
      </c>
      <c r="D240" s="2323"/>
      <c r="E240" s="2421">
        <f>(E238*100/E261)-25</f>
        <v>7.8888888888883457E-2</v>
      </c>
      <c r="F240" s="586">
        <f t="shared" ref="F240:H240" si="12">(F238*100/F261)-25</f>
        <v>1.0869565217390686E-3</v>
      </c>
      <c r="G240" s="586">
        <f t="shared" si="12"/>
        <v>-0.61462140992167491</v>
      </c>
      <c r="H240" s="2487">
        <f t="shared" si="12"/>
        <v>-0.12474264705882376</v>
      </c>
      <c r="I240" s="2324"/>
      <c r="J240" s="2325"/>
      <c r="K240" s="3"/>
      <c r="L240"/>
      <c r="M240" s="40"/>
      <c r="N240"/>
      <c r="P240"/>
      <c r="Y240" s="1"/>
      <c r="Z240" s="1"/>
      <c r="AA240" s="44"/>
      <c r="AB240" s="44"/>
      <c r="AC240" s="223"/>
      <c r="AD240" s="44"/>
      <c r="AE240" s="153"/>
      <c r="AJ240" s="20"/>
      <c r="AK240" s="20"/>
      <c r="AM240" s="20"/>
      <c r="AN240" s="20"/>
      <c r="AP240" s="4"/>
    </row>
    <row r="241" spans="2:45" ht="15.75">
      <c r="B241" s="99"/>
      <c r="C241" s="542" t="s">
        <v>152</v>
      </c>
      <c r="D241" s="99"/>
      <c r="E241" s="194"/>
      <c r="F241" s="2447"/>
      <c r="G241" s="2447"/>
      <c r="H241" s="2447"/>
      <c r="I241" s="571"/>
      <c r="J241" s="571"/>
      <c r="K241" s="3"/>
      <c r="L241" s="1481"/>
      <c r="M241" s="40"/>
      <c r="N241" s="1140"/>
      <c r="P241"/>
      <c r="Y241" s="784"/>
      <c r="Z241" s="1"/>
      <c r="AA241" s="46"/>
      <c r="AB241" s="214"/>
      <c r="AC241" s="204"/>
      <c r="AD241" s="46"/>
      <c r="AE241" s="66"/>
      <c r="AG241" s="364"/>
      <c r="AH241" s="365"/>
      <c r="AI241" s="366"/>
      <c r="AJ241" s="367"/>
      <c r="AK241" s="42"/>
      <c r="AL241" s="42"/>
      <c r="AM241" s="42"/>
      <c r="AN241" s="42"/>
      <c r="AO241" s="42"/>
      <c r="AP241" s="42"/>
      <c r="AQ241" s="364"/>
      <c r="AR241" s="364"/>
      <c r="AS241" s="698"/>
    </row>
    <row r="242" spans="2:45" ht="15.75">
      <c r="B242" s="550" t="s">
        <v>266</v>
      </c>
      <c r="C242" s="582" t="s">
        <v>363</v>
      </c>
      <c r="D242" s="561">
        <v>60</v>
      </c>
      <c r="E242" s="2392">
        <v>0.5</v>
      </c>
      <c r="F242" s="380">
        <v>0.1</v>
      </c>
      <c r="G242" s="380">
        <v>1.5</v>
      </c>
      <c r="H242" s="1384">
        <v>8.5</v>
      </c>
      <c r="I242" s="557">
        <v>1</v>
      </c>
      <c r="J242" s="644" t="s">
        <v>687</v>
      </c>
      <c r="K242" s="3"/>
      <c r="L242" s="63"/>
      <c r="M242" s="169"/>
      <c r="N242"/>
      <c r="P242" s="170"/>
      <c r="Y242" s="349"/>
      <c r="Z242" s="1"/>
      <c r="AA242" s="1"/>
      <c r="AB242" s="1"/>
      <c r="AC242" s="1"/>
      <c r="AD242" s="1"/>
      <c r="AG242" s="49"/>
      <c r="AH242" s="49"/>
      <c r="AI242" s="49"/>
      <c r="AJ242" s="368"/>
      <c r="AK242" s="49"/>
      <c r="AL242" s="49"/>
      <c r="AM242" s="49"/>
      <c r="AN242" s="49"/>
      <c r="AO242" s="49"/>
      <c r="AP242" s="49"/>
      <c r="AQ242" s="49"/>
      <c r="AR242" s="49"/>
      <c r="AS242" s="49"/>
    </row>
    <row r="243" spans="2:45">
      <c r="B243" s="553" t="s">
        <v>267</v>
      </c>
      <c r="C243" s="591" t="s">
        <v>138</v>
      </c>
      <c r="D243" s="561">
        <v>250</v>
      </c>
      <c r="E243" s="2459">
        <v>2.2130000000000001</v>
      </c>
      <c r="F243" s="380">
        <v>5.0750000000000002</v>
      </c>
      <c r="G243" s="380">
        <v>23.036999999999999</v>
      </c>
      <c r="H243" s="1384">
        <v>146.67500000000001</v>
      </c>
      <c r="I243" s="776">
        <v>19</v>
      </c>
      <c r="J243" s="549" t="s">
        <v>800</v>
      </c>
      <c r="K243" s="3"/>
      <c r="L243" s="733"/>
      <c r="M243" s="4"/>
      <c r="N243" s="9"/>
      <c r="P243" s="32"/>
      <c r="Y243" s="349"/>
      <c r="Z243" s="1"/>
      <c r="AA243" s="44"/>
      <c r="AB243" s="223"/>
      <c r="AC243" s="44"/>
      <c r="AD243" s="44"/>
      <c r="AE243" s="153"/>
      <c r="AG243" s="44"/>
      <c r="AH243" s="44"/>
      <c r="AI243" s="44"/>
      <c r="AJ243" s="111"/>
      <c r="AK243" s="44"/>
      <c r="AL243" s="44"/>
      <c r="AM243" s="44"/>
      <c r="AN243" s="44"/>
      <c r="AO243" s="44"/>
      <c r="AP243" s="44"/>
      <c r="AQ243" s="44"/>
      <c r="AR243" s="44"/>
      <c r="AS243" s="153"/>
    </row>
    <row r="244" spans="2:45" ht="15.75">
      <c r="B244" s="555" t="s">
        <v>13</v>
      </c>
      <c r="C244" s="336" t="s">
        <v>346</v>
      </c>
      <c r="D244" s="561">
        <v>195</v>
      </c>
      <c r="E244" s="2392">
        <v>10.917999999999999</v>
      </c>
      <c r="F244" s="380">
        <v>11.055</v>
      </c>
      <c r="G244" s="380">
        <v>37.511200000000002</v>
      </c>
      <c r="H244" s="1384">
        <v>289.61180000000002</v>
      </c>
      <c r="I244" s="580">
        <v>58</v>
      </c>
      <c r="J244" s="558" t="s">
        <v>345</v>
      </c>
      <c r="K244" s="22"/>
      <c r="L244" s="2283"/>
      <c r="M244" s="4"/>
      <c r="N244" s="150"/>
      <c r="P244" s="32"/>
      <c r="Y244" s="788"/>
      <c r="Z244" s="1"/>
      <c r="AA244" s="44"/>
      <c r="AB244" s="223"/>
      <c r="AC244" s="223"/>
      <c r="AD244" s="44"/>
      <c r="AE244" s="153"/>
      <c r="AG244" s="705"/>
      <c r="AH244" s="705"/>
      <c r="AI244" s="705"/>
      <c r="AJ244" s="713"/>
      <c r="AK244" s="705"/>
      <c r="AL244" s="705"/>
      <c r="AM244" s="705"/>
      <c r="AN244" s="705"/>
      <c r="AO244" s="706"/>
      <c r="AP244" s="706"/>
      <c r="AQ244" s="705"/>
      <c r="AR244" s="705"/>
      <c r="AS244" s="705"/>
    </row>
    <row r="245" spans="2:45" ht="15.75">
      <c r="B245" s="555"/>
      <c r="C245" s="756" t="s">
        <v>1018</v>
      </c>
      <c r="D245" s="561">
        <v>200</v>
      </c>
      <c r="E245" s="2392">
        <v>5.9969999999999999</v>
      </c>
      <c r="F245" s="380">
        <v>6.3090000000000002</v>
      </c>
      <c r="G245" s="380">
        <v>23.1694</v>
      </c>
      <c r="H245" s="2398">
        <v>175.45599999999999</v>
      </c>
      <c r="I245" s="580">
        <v>84</v>
      </c>
      <c r="J245" s="549" t="s">
        <v>1019</v>
      </c>
      <c r="K245" s="1029"/>
      <c r="L245" s="63"/>
      <c r="M245" s="62"/>
      <c r="N245" s="9"/>
      <c r="P245"/>
      <c r="Y245" s="721"/>
      <c r="Z245" s="1"/>
      <c r="AA245" s="153"/>
      <c r="AB245" s="147"/>
      <c r="AC245" s="153"/>
      <c r="AD245" s="153"/>
      <c r="AE245" s="153"/>
    </row>
    <row r="246" spans="2:45" ht="15.75">
      <c r="B246" s="555"/>
      <c r="C246" s="241" t="s">
        <v>767</v>
      </c>
      <c r="D246" s="561">
        <v>30</v>
      </c>
      <c r="E246" s="2459">
        <v>7</v>
      </c>
      <c r="F246" s="380">
        <v>8.8000000000000007</v>
      </c>
      <c r="G246" s="380">
        <v>0</v>
      </c>
      <c r="H246" s="1384">
        <v>107.5</v>
      </c>
      <c r="I246" s="557">
        <v>10</v>
      </c>
      <c r="J246" s="584" t="s">
        <v>945</v>
      </c>
      <c r="K246" s="3"/>
      <c r="L246" s="788"/>
      <c r="M246" s="4"/>
      <c r="N246" s="9"/>
      <c r="P246" s="32"/>
      <c r="Y246" s="721"/>
      <c r="Z246" s="1"/>
      <c r="AA246" s="153"/>
      <c r="AB246" s="153"/>
      <c r="AC246" s="153"/>
      <c r="AD246" s="153"/>
      <c r="AE246" s="153"/>
      <c r="AP246" s="43"/>
      <c r="AR246" s="43"/>
    </row>
    <row r="247" spans="2:45">
      <c r="B247" s="559" t="s">
        <v>272</v>
      </c>
      <c r="C247" s="304" t="s">
        <v>11</v>
      </c>
      <c r="D247" s="561">
        <v>70</v>
      </c>
      <c r="E247" s="2392">
        <v>3.6880000000000002</v>
      </c>
      <c r="F247" s="380">
        <v>0.49</v>
      </c>
      <c r="G247" s="380">
        <v>26.56</v>
      </c>
      <c r="H247" s="1384">
        <v>125.402</v>
      </c>
      <c r="I247" s="562">
        <v>11</v>
      </c>
      <c r="J247" s="558" t="s">
        <v>10</v>
      </c>
      <c r="K247" s="3"/>
      <c r="L247" s="733"/>
      <c r="M247" s="45"/>
      <c r="N247" s="9"/>
      <c r="P247" s="32"/>
      <c r="Y247" s="721"/>
      <c r="Z247" s="1"/>
      <c r="AA247" s="152"/>
      <c r="AB247" s="152"/>
      <c r="AC247" s="152"/>
      <c r="AD247" s="152"/>
      <c r="AE247" s="153"/>
      <c r="AJ247" s="715"/>
      <c r="AR247" s="43"/>
    </row>
    <row r="248" spans="2:45" ht="15.75" thickBot="1">
      <c r="B248" s="871"/>
      <c r="C248" s="563" t="s">
        <v>792</v>
      </c>
      <c r="D248" s="574">
        <v>50</v>
      </c>
      <c r="E248" s="2402">
        <v>2.83</v>
      </c>
      <c r="F248" s="381">
        <v>0.6</v>
      </c>
      <c r="G248" s="381">
        <v>20.93</v>
      </c>
      <c r="H248" s="1384">
        <v>100.44</v>
      </c>
      <c r="I248" s="589">
        <v>12</v>
      </c>
      <c r="J248" s="552" t="s">
        <v>10</v>
      </c>
      <c r="K248" s="3"/>
      <c r="L248" s="32"/>
      <c r="M248" s="4"/>
      <c r="N248" s="66"/>
      <c r="P248" s="32"/>
      <c r="Y248" s="721"/>
      <c r="Z248" s="1"/>
      <c r="AA248" s="44"/>
      <c r="AB248" s="44"/>
      <c r="AC248" s="44"/>
      <c r="AD248" s="44"/>
      <c r="AE248" s="153"/>
      <c r="AG248" s="32"/>
      <c r="AH248" s="4"/>
      <c r="AI248" s="8"/>
    </row>
    <row r="249" spans="2:45" ht="15.75">
      <c r="B249" s="565" t="s">
        <v>269</v>
      </c>
      <c r="C249" s="1283"/>
      <c r="D249" s="169">
        <f>SUM(D242:D248)</f>
        <v>855</v>
      </c>
      <c r="E249" s="575">
        <f>SUM(E242:E248)</f>
        <v>33.146000000000001</v>
      </c>
      <c r="F249" s="1353">
        <f>SUM(F242:F248)</f>
        <v>32.429000000000002</v>
      </c>
      <c r="G249" s="576">
        <f>SUM(G242:G248)</f>
        <v>132.70760000000001</v>
      </c>
      <c r="H249" s="2486">
        <f>SUM(H242:H248)</f>
        <v>953.58480000000009</v>
      </c>
      <c r="I249" s="1286" t="s">
        <v>482</v>
      </c>
      <c r="J249" s="1020" t="s">
        <v>280</v>
      </c>
      <c r="K249" s="3"/>
      <c r="L249" s="32"/>
      <c r="M249" s="4"/>
      <c r="N249" s="9"/>
      <c r="P249" s="32"/>
      <c r="Y249" s="721"/>
      <c r="Z249" s="1"/>
      <c r="AA249" s="44"/>
      <c r="AB249" s="44"/>
      <c r="AC249" s="44"/>
      <c r="AD249" s="44"/>
      <c r="AE249" s="153"/>
      <c r="AG249" s="39"/>
      <c r="AH249" s="4"/>
      <c r="AI249" s="40"/>
    </row>
    <row r="250" spans="2:45" ht="15.75">
      <c r="B250" s="513"/>
      <c r="C250" s="2322" t="s">
        <v>12</v>
      </c>
      <c r="D250" s="2320">
        <v>0.35</v>
      </c>
      <c r="E250" s="2326">
        <v>31.5</v>
      </c>
      <c r="F250" s="2327">
        <v>32.200000000000003</v>
      </c>
      <c r="G250" s="2327">
        <v>134.05000000000001</v>
      </c>
      <c r="H250" s="2328">
        <v>952</v>
      </c>
      <c r="I250" s="1030">
        <f>H250-H249</f>
        <v>-1.5848000000000866</v>
      </c>
      <c r="J250" s="2314" t="s">
        <v>938</v>
      </c>
      <c r="K250" s="3"/>
      <c r="L250"/>
      <c r="M250" s="40"/>
      <c r="N250"/>
      <c r="Y250" s="733"/>
      <c r="Z250" s="1"/>
      <c r="AA250" s="458"/>
      <c r="AB250" s="214"/>
      <c r="AC250" s="46"/>
      <c r="AD250" s="46"/>
      <c r="AE250" s="48"/>
      <c r="AG250" s="39"/>
      <c r="AI250" s="40"/>
    </row>
    <row r="251" spans="2:45" ht="15.75" thickBot="1">
      <c r="B251" s="237"/>
      <c r="C251" s="1347" t="s">
        <v>957</v>
      </c>
      <c r="D251" s="2323"/>
      <c r="E251" s="2421">
        <f>(E249*100/E261)-35</f>
        <v>1.8288888888888906</v>
      </c>
      <c r="F251" s="586">
        <f t="shared" ref="F251:H251" si="13">(F249*100/F261)-35</f>
        <v>0.24891304347826093</v>
      </c>
      <c r="G251" s="586">
        <f t="shared" si="13"/>
        <v>-0.35049608355090811</v>
      </c>
      <c r="H251" s="2487">
        <f t="shared" si="13"/>
        <v>5.8264705882358214E-2</v>
      </c>
      <c r="I251" s="2324"/>
      <c r="J251" s="2325"/>
      <c r="K251" s="3"/>
      <c r="L251"/>
      <c r="M251" s="40"/>
      <c r="N251"/>
      <c r="Y251" s="154"/>
      <c r="Z251" s="1"/>
      <c r="AA251" s="714"/>
      <c r="AB251" s="434"/>
      <c r="AC251" s="434"/>
      <c r="AD251" s="435"/>
      <c r="AE251" s="435"/>
      <c r="AH251" s="169"/>
    </row>
    <row r="252" spans="2:45">
      <c r="B252" s="550" t="s">
        <v>266</v>
      </c>
      <c r="C252" s="1090" t="s">
        <v>324</v>
      </c>
      <c r="D252" s="99"/>
      <c r="E252" s="2446"/>
      <c r="F252" s="2447"/>
      <c r="G252" s="2447"/>
      <c r="H252" s="2497"/>
      <c r="I252" s="590"/>
      <c r="J252" s="590"/>
      <c r="K252" s="3"/>
      <c r="L252"/>
      <c r="M252" s="40"/>
      <c r="N252"/>
      <c r="Y252" s="169"/>
      <c r="Z252" s="1"/>
      <c r="AA252" s="432"/>
      <c r="AB252" s="432"/>
      <c r="AC252" s="437"/>
      <c r="AD252" s="437"/>
      <c r="AE252" s="438"/>
      <c r="AG252" s="385"/>
      <c r="AH252" s="4"/>
      <c r="AI252" s="9"/>
    </row>
    <row r="253" spans="2:45" ht="18.75" customHeight="1">
      <c r="B253" s="553" t="s">
        <v>267</v>
      </c>
      <c r="C253" s="556" t="s">
        <v>643</v>
      </c>
      <c r="D253" s="561">
        <v>200</v>
      </c>
      <c r="E253" s="2459">
        <v>0.2</v>
      </c>
      <c r="F253" s="380">
        <v>0</v>
      </c>
      <c r="G253" s="380">
        <v>0.2</v>
      </c>
      <c r="H253" s="1298">
        <v>1.6</v>
      </c>
      <c r="I253" s="572">
        <v>94</v>
      </c>
      <c r="J253" s="558" t="s">
        <v>801</v>
      </c>
      <c r="K253" s="22"/>
      <c r="L253"/>
      <c r="M253" s="40"/>
      <c r="N253"/>
      <c r="Z253" s="1"/>
      <c r="AA253" s="1"/>
      <c r="AB253" s="1"/>
      <c r="AC253" s="1"/>
      <c r="AD253" s="1"/>
      <c r="AH253" s="116"/>
      <c r="AI253" s="3"/>
    </row>
    <row r="254" spans="2:45" ht="15.75">
      <c r="B254" s="555" t="s">
        <v>13</v>
      </c>
      <c r="C254" s="595" t="s">
        <v>689</v>
      </c>
      <c r="D254" s="551" t="s">
        <v>540</v>
      </c>
      <c r="E254" s="2414">
        <v>8.9589999999999996</v>
      </c>
      <c r="F254" s="381">
        <v>9.0299999999999994</v>
      </c>
      <c r="G254" s="2415">
        <v>38.154000000000003</v>
      </c>
      <c r="H254" s="1388">
        <v>269.72199999999998</v>
      </c>
      <c r="I254" s="589">
        <v>36</v>
      </c>
      <c r="J254" s="780" t="s">
        <v>488</v>
      </c>
      <c r="K254" s="1029"/>
      <c r="L254" s="1481"/>
      <c r="M254" s="40"/>
      <c r="N254" s="1140"/>
      <c r="Z254" s="1"/>
      <c r="AA254" s="1"/>
      <c r="AB254" s="1"/>
      <c r="AC254" s="1"/>
      <c r="AD254" s="1"/>
      <c r="AG254" s="63"/>
      <c r="AH254" s="116"/>
      <c r="AI254" s="150"/>
    </row>
    <row r="255" spans="2:45" ht="15.75" thickBot="1">
      <c r="B255" s="559" t="s">
        <v>272</v>
      </c>
      <c r="C255" s="985" t="s">
        <v>237</v>
      </c>
      <c r="D255" s="1284"/>
      <c r="E255" s="1534"/>
      <c r="F255" s="2444"/>
      <c r="G255" s="147"/>
      <c r="H255" s="1466"/>
      <c r="I255" s="1096"/>
      <c r="J255" s="1285"/>
      <c r="K255" s="3"/>
      <c r="L255" s="63"/>
      <c r="M255" s="169"/>
      <c r="N255" s="3"/>
      <c r="Z255" s="1"/>
      <c r="AE255" s="32"/>
      <c r="AG255" s="45"/>
      <c r="AH255" s="4"/>
      <c r="AI255" s="9"/>
    </row>
    <row r="256" spans="2:45" ht="15.75">
      <c r="B256" s="565" t="s">
        <v>357</v>
      </c>
      <c r="C256" s="433"/>
      <c r="D256" s="577">
        <f>D253+156+24</f>
        <v>380</v>
      </c>
      <c r="E256" s="575">
        <f>SUM(E253:E255)</f>
        <v>9.1589999999999989</v>
      </c>
      <c r="F256" s="1353">
        <f>SUM(F253:F255)</f>
        <v>9.0299999999999994</v>
      </c>
      <c r="G256" s="576">
        <f>SUM(G253:G255)</f>
        <v>38.354000000000006</v>
      </c>
      <c r="H256" s="2500">
        <f>SUM(H253:H255)</f>
        <v>271.322</v>
      </c>
      <c r="I256" s="1273" t="s">
        <v>482</v>
      </c>
      <c r="J256" s="1020" t="s">
        <v>280</v>
      </c>
      <c r="K256" s="3"/>
      <c r="L256" s="721"/>
      <c r="M256" s="4"/>
      <c r="N256" s="66"/>
      <c r="P256" s="45"/>
      <c r="Q256" s="802"/>
      <c r="R256" s="4"/>
      <c r="S256" s="9"/>
      <c r="T256" s="153"/>
      <c r="U256" s="430"/>
      <c r="V256" s="153"/>
      <c r="W256" s="111"/>
      <c r="X256" s="722"/>
      <c r="Y256" s="721"/>
      <c r="Z256" s="1"/>
      <c r="AA256" s="14"/>
      <c r="AB256" s="13"/>
      <c r="AC256" s="13"/>
      <c r="AD256" s="13"/>
      <c r="AE256" s="13"/>
      <c r="AG256" s="32"/>
      <c r="AH256" s="4"/>
      <c r="AI256" s="9"/>
    </row>
    <row r="257" spans="2:35">
      <c r="B257" s="513"/>
      <c r="C257" s="2322" t="s">
        <v>12</v>
      </c>
      <c r="D257" s="2320">
        <v>0.1</v>
      </c>
      <c r="E257" s="2326">
        <v>9</v>
      </c>
      <c r="F257" s="2327">
        <v>9.1999999999999993</v>
      </c>
      <c r="G257" s="2327">
        <v>38.299999999999997</v>
      </c>
      <c r="H257" s="2348">
        <v>272</v>
      </c>
      <c r="I257" s="2344">
        <f>H257-H256</f>
        <v>0.67799999999999727</v>
      </c>
      <c r="J257" s="2314" t="s">
        <v>938</v>
      </c>
      <c r="K257" s="3"/>
      <c r="L257" s="32"/>
      <c r="M257" s="4"/>
      <c r="N257" s="44"/>
      <c r="P257" s="32"/>
      <c r="Q257" s="768"/>
      <c r="R257" s="4"/>
      <c r="S257" s="3"/>
      <c r="T257" s="44"/>
      <c r="U257" s="44"/>
      <c r="V257" s="152"/>
      <c r="W257" s="111"/>
      <c r="X257" s="722"/>
      <c r="Y257" s="721"/>
      <c r="Z257" s="1"/>
      <c r="AA257" s="22"/>
      <c r="AB257" s="22"/>
      <c r="AC257" s="22"/>
      <c r="AD257" s="22"/>
      <c r="AE257" s="22"/>
      <c r="AG257" s="32"/>
      <c r="AH257" s="4"/>
      <c r="AI257" s="9"/>
    </row>
    <row r="258" spans="2:35" ht="15.75" thickBot="1">
      <c r="B258" s="237"/>
      <c r="C258" s="1347" t="s">
        <v>957</v>
      </c>
      <c r="D258" s="2323"/>
      <c r="E258" s="2421">
        <f>(E256*100/E261)-10</f>
        <v>0.17666666666666586</v>
      </c>
      <c r="F258" s="586">
        <f t="shared" ref="F258:G258" si="14">(F256*100/F261)-10</f>
        <v>-0.1847826086956541</v>
      </c>
      <c r="G258" s="586">
        <f t="shared" si="14"/>
        <v>1.4099216710183882E-2</v>
      </c>
      <c r="H258" s="2487">
        <f>(H256*100/H261)-10</f>
        <v>-2.4926470588235716E-2</v>
      </c>
      <c r="I258" s="2324"/>
      <c r="J258" s="2325"/>
      <c r="K258" s="3"/>
      <c r="L258"/>
      <c r="M258" s="4"/>
      <c r="N258"/>
      <c r="P258" s="32"/>
      <c r="R258" s="4"/>
      <c r="S258" s="9"/>
      <c r="T258" s="44"/>
      <c r="U258" s="44"/>
      <c r="V258" s="44"/>
      <c r="W258" s="111"/>
      <c r="X258" s="722"/>
      <c r="Y258" s="721"/>
      <c r="Z258" s="1"/>
      <c r="AA258" s="1"/>
      <c r="AB258" s="1"/>
      <c r="AC258" s="1"/>
      <c r="AD258" s="1"/>
      <c r="AH258" s="40"/>
    </row>
    <row r="259" spans="2:35" ht="15.75" thickBot="1">
      <c r="E259" s="194"/>
      <c r="F259" s="194"/>
      <c r="G259" s="194"/>
      <c r="H259" s="194"/>
      <c r="K259" s="22"/>
      <c r="L259"/>
      <c r="M259" s="4"/>
      <c r="N259"/>
      <c r="P259" s="32"/>
      <c r="R259" s="4"/>
      <c r="S259" s="9"/>
      <c r="T259" s="44"/>
      <c r="U259" s="44"/>
      <c r="V259" s="44"/>
      <c r="W259" s="111"/>
      <c r="X259" s="722"/>
      <c r="Y259" s="721"/>
      <c r="Z259" s="1"/>
      <c r="AA259" s="44"/>
      <c r="AB259" s="223"/>
      <c r="AC259" s="44"/>
      <c r="AD259" s="44"/>
      <c r="AE259" s="153"/>
      <c r="AG259" s="63"/>
      <c r="AH259" s="169"/>
    </row>
    <row r="260" spans="2:35" ht="15.75">
      <c r="B260" s="2331"/>
      <c r="C260" s="2332"/>
      <c r="D260" s="2333"/>
      <c r="E260" s="2489" t="s">
        <v>6</v>
      </c>
      <c r="F260" s="2490" t="s">
        <v>7</v>
      </c>
      <c r="G260" s="2490" t="s">
        <v>8</v>
      </c>
      <c r="H260" s="2491" t="s">
        <v>958</v>
      </c>
      <c r="I260" s="2334"/>
      <c r="J260" s="2333"/>
      <c r="K260" s="1029"/>
      <c r="L260" s="1481"/>
      <c r="M260" s="40"/>
      <c r="N260" s="1140"/>
      <c r="P260" s="33"/>
      <c r="R260" s="4"/>
      <c r="S260" s="9"/>
      <c r="T260" s="44"/>
      <c r="U260" s="44"/>
      <c r="V260" s="44"/>
      <c r="W260" s="111"/>
      <c r="X260" s="722"/>
      <c r="Y260" s="721"/>
      <c r="Z260" s="1"/>
      <c r="AA260" s="153"/>
      <c r="AB260" s="153"/>
      <c r="AC260" s="153"/>
      <c r="AD260" s="153"/>
      <c r="AE260" s="153"/>
      <c r="AG260" s="32"/>
      <c r="AH260" s="4"/>
      <c r="AI260" s="8"/>
    </row>
    <row r="261" spans="2:35" ht="15.75" thickBot="1">
      <c r="B261" s="2335"/>
      <c r="C261" s="2336" t="s">
        <v>959</v>
      </c>
      <c r="D261" s="2337">
        <v>1</v>
      </c>
      <c r="E261" s="2492">
        <v>90</v>
      </c>
      <c r="F261" s="2493">
        <v>92</v>
      </c>
      <c r="G261" s="2494">
        <v>383</v>
      </c>
      <c r="H261" s="2495">
        <v>2720</v>
      </c>
      <c r="I261" s="2338" t="s">
        <v>960</v>
      </c>
      <c r="J261" s="2339"/>
      <c r="K261" s="3"/>
      <c r="P261"/>
      <c r="Q261" s="171"/>
      <c r="R261" s="433"/>
      <c r="S261" s="8"/>
      <c r="T261" s="795"/>
      <c r="U261" s="796"/>
      <c r="V261" s="795"/>
      <c r="W261" s="796"/>
      <c r="X261" s="203"/>
      <c r="Y261" s="154"/>
      <c r="Z261" s="1"/>
      <c r="AA261" s="44"/>
      <c r="AB261" s="44"/>
      <c r="AC261" s="44"/>
      <c r="AD261" s="44"/>
      <c r="AE261" s="153"/>
      <c r="AG261" s="32"/>
      <c r="AH261" s="4"/>
      <c r="AI261" s="4"/>
    </row>
    <row r="262" spans="2:35" ht="15.75" thickBot="1">
      <c r="E262" s="194"/>
      <c r="F262" s="194"/>
      <c r="G262" s="194"/>
      <c r="H262" s="194"/>
      <c r="K262" s="3"/>
      <c r="L262"/>
      <c r="M262" s="40"/>
      <c r="N262"/>
      <c r="P262" s="9"/>
      <c r="Q262" s="9"/>
      <c r="R262" s="433"/>
      <c r="S262" s="8"/>
      <c r="X262" s="210"/>
      <c r="Y262" s="169"/>
      <c r="Z262" s="1"/>
      <c r="AA262" s="44"/>
      <c r="AB262" s="44"/>
      <c r="AC262" s="44"/>
      <c r="AD262" s="44"/>
      <c r="AE262" s="153"/>
      <c r="AG262" s="32"/>
      <c r="AH262" s="4"/>
      <c r="AI262" s="9"/>
    </row>
    <row r="263" spans="2:35">
      <c r="B263" s="1021"/>
      <c r="C263" s="34" t="s">
        <v>481</v>
      </c>
      <c r="D263" s="35"/>
      <c r="E263" s="145">
        <f>E238+E249</f>
        <v>55.716999999999999</v>
      </c>
      <c r="F263" s="243">
        <f>F238+F249</f>
        <v>55.430000000000007</v>
      </c>
      <c r="G263" s="243">
        <f>G238+G249</f>
        <v>226.1036</v>
      </c>
      <c r="H263" s="1024">
        <f>H238+H249</f>
        <v>1630.1918000000001</v>
      </c>
      <c r="I263" s="1286" t="s">
        <v>482</v>
      </c>
      <c r="J263" s="1020" t="s">
        <v>280</v>
      </c>
      <c r="K263" s="3"/>
      <c r="L263" s="63"/>
      <c r="M263" s="4"/>
      <c r="N263"/>
      <c r="P263"/>
      <c r="R263" s="436"/>
      <c r="T263" s="438"/>
      <c r="U263" s="438"/>
      <c r="V263" s="438"/>
      <c r="W263" s="438"/>
      <c r="X263" s="210"/>
      <c r="Y263" s="1"/>
      <c r="Z263" s="1"/>
      <c r="AA263" s="44"/>
      <c r="AB263" s="44"/>
      <c r="AC263" s="44"/>
      <c r="AD263" s="44"/>
      <c r="AE263" s="153"/>
      <c r="AG263" s="30"/>
      <c r="AH263" s="4"/>
      <c r="AI263" s="9"/>
    </row>
    <row r="264" spans="2:35">
      <c r="B264" s="513"/>
      <c r="C264" s="2322" t="s">
        <v>12</v>
      </c>
      <c r="D264" s="2320">
        <v>0.6</v>
      </c>
      <c r="E264" s="2340">
        <v>54</v>
      </c>
      <c r="F264" s="2341">
        <v>55.2</v>
      </c>
      <c r="G264" s="2341">
        <v>229.8</v>
      </c>
      <c r="H264" s="2342">
        <v>1632</v>
      </c>
      <c r="I264" s="2343">
        <f>H264-H263</f>
        <v>1.8081999999999425</v>
      </c>
      <c r="J264" s="2314" t="s">
        <v>938</v>
      </c>
      <c r="K264" s="3"/>
      <c r="P264"/>
      <c r="S264" s="1"/>
      <c r="T264" s="1"/>
      <c r="U264" s="1"/>
      <c r="V264" s="1"/>
      <c r="W264" s="1"/>
      <c r="X264" s="1"/>
      <c r="Y264" s="1"/>
      <c r="Z264" s="1"/>
      <c r="AA264" s="46"/>
      <c r="AB264" s="214"/>
      <c r="AC264" s="204"/>
      <c r="AD264" s="46"/>
      <c r="AE264" s="66"/>
      <c r="AG264" s="32"/>
      <c r="AH264" s="4"/>
      <c r="AI264" s="9"/>
    </row>
    <row r="265" spans="2:35" ht="15.75" thickBot="1">
      <c r="B265" s="237"/>
      <c r="C265" s="1347" t="s">
        <v>957</v>
      </c>
      <c r="D265" s="2323"/>
      <c r="E265" s="2421">
        <f>(E263*100/E261)-60</f>
        <v>1.907777777777774</v>
      </c>
      <c r="F265" s="586">
        <f t="shared" ref="F265:G265" si="15">(F263*100/F261)-60</f>
        <v>0.25000000000000711</v>
      </c>
      <c r="G265" s="586">
        <f t="shared" si="15"/>
        <v>-0.96511749347258302</v>
      </c>
      <c r="H265" s="2487">
        <f>(H263*100/H261)-60</f>
        <v>-6.6477941176472655E-2</v>
      </c>
      <c r="I265" s="2324"/>
      <c r="J265" s="2325"/>
      <c r="K265" s="3"/>
      <c r="L265" s="32"/>
      <c r="M265" s="4"/>
      <c r="N265" s="44"/>
      <c r="P265"/>
      <c r="AA265" s="1"/>
      <c r="AB265" s="1"/>
      <c r="AC265" s="1"/>
      <c r="AD265" s="1"/>
      <c r="AG265" s="32"/>
      <c r="AH265" s="4"/>
      <c r="AI265" s="9"/>
    </row>
    <row r="266" spans="2:35" ht="16.5" thickBot="1">
      <c r="E266" s="194"/>
      <c r="F266" s="194"/>
      <c r="G266" s="194"/>
      <c r="H266" s="194"/>
      <c r="K266" s="3"/>
      <c r="L266" s="32"/>
      <c r="M266" s="4"/>
      <c r="N266" s="9"/>
      <c r="P266" s="170"/>
      <c r="AA266" s="383"/>
      <c r="AB266" s="720"/>
      <c r="AC266" s="383"/>
      <c r="AD266" s="383"/>
      <c r="AE266" s="153"/>
      <c r="AG266" s="32"/>
      <c r="AH266" s="4"/>
      <c r="AI266" s="9"/>
    </row>
    <row r="267" spans="2:35">
      <c r="B267" s="1021"/>
      <c r="C267" s="34" t="s">
        <v>480</v>
      </c>
      <c r="D267" s="35"/>
      <c r="E267" s="145">
        <f>E249+E256</f>
        <v>42.305</v>
      </c>
      <c r="F267" s="243">
        <f>F249+F256</f>
        <v>41.459000000000003</v>
      </c>
      <c r="G267" s="243">
        <f>G249+G256</f>
        <v>171.06160000000003</v>
      </c>
      <c r="H267" s="1024">
        <f>H249+H256</f>
        <v>1224.9068000000002</v>
      </c>
      <c r="I267" s="1286" t="s">
        <v>482</v>
      </c>
      <c r="J267" s="1020" t="s">
        <v>280</v>
      </c>
      <c r="K267" s="3"/>
      <c r="L267" s="1481"/>
      <c r="M267" s="40"/>
      <c r="N267" s="1140"/>
      <c r="P267" s="32"/>
      <c r="AA267" s="44"/>
      <c r="AB267" s="223"/>
      <c r="AC267" s="44"/>
      <c r="AD267" s="44"/>
      <c r="AE267" s="153"/>
    </row>
    <row r="268" spans="2:35">
      <c r="B268" s="513"/>
      <c r="C268" s="2322" t="s">
        <v>12</v>
      </c>
      <c r="D268" s="2320">
        <v>0.45</v>
      </c>
      <c r="E268" s="2326">
        <v>40.5</v>
      </c>
      <c r="F268" s="2327">
        <v>41.4</v>
      </c>
      <c r="G268" s="2327">
        <v>172.35</v>
      </c>
      <c r="H268" s="2328">
        <v>1224</v>
      </c>
      <c r="I268" s="2344">
        <f>H268-H267</f>
        <v>-0.906800000000203</v>
      </c>
      <c r="J268" s="2314" t="s">
        <v>938</v>
      </c>
      <c r="L268" s="63"/>
      <c r="M268" s="169"/>
      <c r="N268" s="3"/>
      <c r="P268" s="32"/>
      <c r="AA268" s="44"/>
      <c r="AB268" s="44"/>
      <c r="AC268" s="44"/>
      <c r="AD268" s="44"/>
      <c r="AE268" s="153"/>
    </row>
    <row r="269" spans="2:35" ht="15.75" thickBot="1">
      <c r="B269" s="237"/>
      <c r="C269" s="1347" t="s">
        <v>957</v>
      </c>
      <c r="D269" s="2323"/>
      <c r="E269" s="2421">
        <f>(E267*100/E261)-45</f>
        <v>2.0055555555555529</v>
      </c>
      <c r="F269" s="586">
        <f t="shared" ref="F269:G269" si="16">(F267*100/F261)-45</f>
        <v>6.4130434782612156E-2</v>
      </c>
      <c r="G269" s="586">
        <f t="shared" si="16"/>
        <v>-0.33639686684072245</v>
      </c>
      <c r="H269" s="2487">
        <f>(H267*100/H261)-45</f>
        <v>3.3338235294124274E-2</v>
      </c>
      <c r="I269" s="2324"/>
      <c r="J269" s="2325"/>
      <c r="L269" s="2283"/>
      <c r="M269" s="4"/>
      <c r="N269" s="66"/>
      <c r="P269"/>
      <c r="AA269" s="44"/>
      <c r="AB269" s="44"/>
      <c r="AC269" s="44"/>
      <c r="AD269" s="44"/>
      <c r="AE269" s="153"/>
    </row>
    <row r="270" spans="2:35" ht="15.75" thickBot="1">
      <c r="E270" s="194"/>
      <c r="F270" s="194"/>
      <c r="G270" s="194"/>
      <c r="H270" s="194"/>
      <c r="K270" s="3"/>
      <c r="L270" s="32"/>
      <c r="M270" s="1519"/>
      <c r="N270" s="66"/>
      <c r="P270" s="30"/>
      <c r="AA270" s="44"/>
      <c r="AB270" s="44"/>
      <c r="AC270" s="44"/>
      <c r="AD270" s="44"/>
      <c r="AE270" s="153"/>
    </row>
    <row r="271" spans="2:35" ht="15.75" thickBot="1">
      <c r="B271" s="1021"/>
      <c r="C271" s="34" t="s">
        <v>358</v>
      </c>
      <c r="D271" s="35"/>
      <c r="E271" s="149">
        <f>E238+E249+E256</f>
        <v>64.876000000000005</v>
      </c>
      <c r="F271" s="109">
        <f>F238+F249+F256</f>
        <v>64.460000000000008</v>
      </c>
      <c r="G271" s="109">
        <f>G238+G249+G256</f>
        <v>264.45760000000001</v>
      </c>
      <c r="H271" s="244">
        <f>H238+H249+H256</f>
        <v>1901.5138000000002</v>
      </c>
      <c r="I271" s="1286" t="s">
        <v>482</v>
      </c>
      <c r="J271" s="1020" t="s">
        <v>280</v>
      </c>
      <c r="L271" s="32"/>
      <c r="M271" s="4"/>
      <c r="N271" s="9"/>
      <c r="P271" s="32"/>
      <c r="AA271" s="44"/>
      <c r="AB271" s="44"/>
      <c r="AC271" s="223"/>
      <c r="AD271" s="44"/>
      <c r="AE271" s="153"/>
    </row>
    <row r="272" spans="2:35">
      <c r="B272" s="88"/>
      <c r="C272" s="2321" t="s">
        <v>12</v>
      </c>
      <c r="D272" s="2320">
        <v>0.7</v>
      </c>
      <c r="E272" s="2326">
        <v>63</v>
      </c>
      <c r="F272" s="2327">
        <v>64.400000000000006</v>
      </c>
      <c r="G272" s="2327">
        <v>268.10000000000002</v>
      </c>
      <c r="H272" s="2328">
        <v>1904</v>
      </c>
      <c r="I272" s="2344">
        <f>H272-H271</f>
        <v>2.4861999999998261</v>
      </c>
      <c r="J272" s="2314" t="s">
        <v>938</v>
      </c>
      <c r="K272" s="3"/>
      <c r="L272" s="1481"/>
      <c r="M272" s="40"/>
      <c r="N272" s="1140"/>
      <c r="P272" s="32"/>
      <c r="AA272" s="46"/>
      <c r="AB272" s="214"/>
      <c r="AC272" s="46"/>
      <c r="AD272" s="46"/>
      <c r="AE272" s="66"/>
    </row>
    <row r="273" spans="2:46" ht="15.75" thickBot="1">
      <c r="B273" s="237"/>
      <c r="C273" s="1347" t="s">
        <v>957</v>
      </c>
      <c r="D273" s="2323"/>
      <c r="E273" s="2421">
        <f>(E271*100/E261)-70</f>
        <v>2.0844444444444434</v>
      </c>
      <c r="F273" s="586">
        <f t="shared" ref="F273:G273" si="17">(F271*100/F261)-70</f>
        <v>6.521739130435833E-2</v>
      </c>
      <c r="G273" s="586">
        <f t="shared" si="17"/>
        <v>-0.95101827676239736</v>
      </c>
      <c r="H273" s="2487">
        <f>(H271*100/H261)-70</f>
        <v>-9.1404411764699489E-2</v>
      </c>
      <c r="I273" s="2324"/>
      <c r="J273" s="2325"/>
      <c r="K273" s="3"/>
      <c r="L273" s="63"/>
      <c r="M273" s="169"/>
      <c r="N273" s="3"/>
      <c r="P273" s="32"/>
      <c r="AA273" s="714"/>
      <c r="AB273" s="434"/>
      <c r="AC273" s="434"/>
      <c r="AD273" s="435"/>
      <c r="AE273" s="435"/>
    </row>
    <row r="274" spans="2:46">
      <c r="E274" s="194"/>
      <c r="F274" s="194"/>
      <c r="G274" s="194"/>
      <c r="H274" s="194"/>
      <c r="K274" s="3"/>
      <c r="L274" s="32"/>
      <c r="M274" s="4"/>
      <c r="N274" s="66"/>
      <c r="P274" s="32"/>
      <c r="AA274" s="432"/>
      <c r="AB274" s="432"/>
      <c r="AC274" s="437"/>
      <c r="AD274" s="437"/>
      <c r="AE274" s="438"/>
    </row>
    <row r="275" spans="2:46">
      <c r="D275" s="5"/>
      <c r="K275" s="3"/>
      <c r="L275" s="2286"/>
      <c r="M275" s="116"/>
      <c r="N275" s="66"/>
      <c r="P275" s="33"/>
      <c r="AA275" s="1"/>
      <c r="AB275" s="1"/>
      <c r="AC275" s="1"/>
      <c r="AD275" s="1"/>
    </row>
    <row r="276" spans="2:46">
      <c r="D276" s="5" t="s">
        <v>286</v>
      </c>
      <c r="K276" s="3"/>
      <c r="L276" s="32"/>
      <c r="M276" s="4"/>
      <c r="N276" s="9"/>
      <c r="P276"/>
      <c r="AA276" s="1"/>
      <c r="AB276" s="1"/>
      <c r="AC276" s="1"/>
      <c r="AD276" s="1"/>
    </row>
    <row r="277" spans="2:46" ht="15.75">
      <c r="B277" s="19" t="s">
        <v>956</v>
      </c>
      <c r="D277"/>
      <c r="E277"/>
      <c r="I277"/>
      <c r="J277"/>
      <c r="K277" s="3"/>
      <c r="L277" s="1481"/>
      <c r="M277" s="40"/>
      <c r="N277" s="1140"/>
      <c r="P277"/>
      <c r="AA277" s="1"/>
      <c r="AB277" s="1"/>
      <c r="AC277" s="1"/>
      <c r="AD277" s="1"/>
      <c r="AJ277" s="20"/>
      <c r="AK277" s="363"/>
      <c r="AM277" s="20"/>
      <c r="AN277" s="20"/>
      <c r="AP277" s="43"/>
      <c r="AT277" s="13"/>
    </row>
    <row r="278" spans="2:46">
      <c r="C278" s="19" t="s">
        <v>282</v>
      </c>
      <c r="E278"/>
      <c r="F278"/>
      <c r="G278" s="19"/>
      <c r="H278" s="19"/>
      <c r="I278" s="13"/>
      <c r="J278" s="13"/>
      <c r="K278" s="3"/>
      <c r="L278" s="63"/>
      <c r="M278" s="169"/>
      <c r="N278" s="3"/>
      <c r="P278" s="119"/>
      <c r="AA278" s="1"/>
      <c r="AB278" s="1"/>
      <c r="AC278" s="1"/>
      <c r="AD278" s="1"/>
    </row>
    <row r="279" spans="2:46" ht="15.75">
      <c r="B279" s="20" t="s">
        <v>510</v>
      </c>
      <c r="C279" s="13"/>
      <c r="D279"/>
      <c r="E279" s="20" t="s">
        <v>0</v>
      </c>
      <c r="F279"/>
      <c r="G279" s="2" t="s">
        <v>317</v>
      </c>
      <c r="H279" s="13"/>
      <c r="I279" s="13"/>
      <c r="J279" s="24"/>
      <c r="K279" s="3"/>
      <c r="L279" s="32"/>
      <c r="M279" s="4"/>
      <c r="N279" s="9"/>
      <c r="P279" s="63"/>
      <c r="AA279" s="1"/>
      <c r="AB279" s="1"/>
      <c r="AC279" s="1"/>
      <c r="AD279" s="1"/>
      <c r="AJ279" s="20"/>
      <c r="AK279" s="20"/>
      <c r="AM279" s="20"/>
      <c r="AN279" s="20"/>
      <c r="AP279" s="4"/>
    </row>
    <row r="280" spans="2:46" ht="21.75" thickBot="1">
      <c r="D280" s="23" t="s">
        <v>1</v>
      </c>
      <c r="K280" s="3"/>
      <c r="L280" s="1486"/>
      <c r="M280" s="40"/>
      <c r="N280"/>
      <c r="P280" s="32"/>
      <c r="AA280" s="1"/>
      <c r="AB280" s="1"/>
      <c r="AC280" s="1"/>
      <c r="AD280" s="1"/>
      <c r="AG280" s="364"/>
      <c r="AH280" s="365"/>
      <c r="AI280" s="366"/>
      <c r="AJ280" s="367"/>
      <c r="AK280" s="42"/>
      <c r="AL280" s="42"/>
      <c r="AM280" s="42"/>
      <c r="AN280" s="42"/>
      <c r="AO280" s="42"/>
      <c r="AP280" s="42"/>
      <c r="AQ280" s="364"/>
      <c r="AR280" s="364"/>
      <c r="AS280" s="698"/>
    </row>
    <row r="281" spans="2:46" ht="15.75" thickBot="1">
      <c r="B281" s="524" t="s">
        <v>250</v>
      </c>
      <c r="C281" s="99"/>
      <c r="D281" s="525" t="s">
        <v>251</v>
      </c>
      <c r="E281" s="397" t="s">
        <v>252</v>
      </c>
      <c r="F281" s="397"/>
      <c r="G281" s="397"/>
      <c r="H281" s="526" t="s">
        <v>253</v>
      </c>
      <c r="I281" s="527" t="s">
        <v>254</v>
      </c>
      <c r="J281" s="528" t="s">
        <v>255</v>
      </c>
      <c r="K281" s="3"/>
      <c r="L281" s="32"/>
      <c r="M281" s="4"/>
      <c r="N281" s="44"/>
      <c r="P281" s="32"/>
      <c r="AA281" s="1"/>
      <c r="AB281" s="1"/>
      <c r="AC281" s="1"/>
      <c r="AD281" s="1"/>
      <c r="AG281" s="49"/>
      <c r="AH281" s="49"/>
      <c r="AI281" s="49"/>
      <c r="AJ281" s="368"/>
      <c r="AK281" s="49"/>
      <c r="AL281" s="49"/>
      <c r="AM281" s="49"/>
      <c r="AN281" s="49"/>
      <c r="AO281" s="49"/>
      <c r="AP281" s="49"/>
      <c r="AQ281" s="49"/>
      <c r="AR281" s="49"/>
      <c r="AS281" s="49"/>
    </row>
    <row r="282" spans="2:46">
      <c r="B282" s="529" t="s">
        <v>256</v>
      </c>
      <c r="C282" s="530" t="s">
        <v>257</v>
      </c>
      <c r="D282" s="531" t="s">
        <v>258</v>
      </c>
      <c r="E282" s="532" t="s">
        <v>259</v>
      </c>
      <c r="F282" s="532" t="s">
        <v>63</v>
      </c>
      <c r="G282" s="532" t="s">
        <v>64</v>
      </c>
      <c r="H282" s="533" t="s">
        <v>260</v>
      </c>
      <c r="I282" s="534" t="s">
        <v>261</v>
      </c>
      <c r="J282" s="535" t="s">
        <v>262</v>
      </c>
      <c r="K282" s="3"/>
      <c r="L282" s="32"/>
      <c r="M282" s="4"/>
      <c r="N282" s="9"/>
      <c r="P282" s="32"/>
      <c r="AG282" s="44"/>
      <c r="AH282" s="44"/>
      <c r="AI282" s="152"/>
      <c r="AJ282" s="111"/>
      <c r="AK282" s="44"/>
      <c r="AL282" s="153"/>
      <c r="AM282" s="153"/>
      <c r="AN282" s="153"/>
      <c r="AO282" s="153"/>
      <c r="AP282" s="153"/>
      <c r="AQ282" s="153"/>
      <c r="AR282" s="153"/>
      <c r="AS282" s="153"/>
    </row>
    <row r="283" spans="2:46" ht="16.5" thickBot="1">
      <c r="B283" s="536"/>
      <c r="C283" s="579"/>
      <c r="D283" s="537"/>
      <c r="E283" s="538" t="s">
        <v>6</v>
      </c>
      <c r="F283" s="538" t="s">
        <v>7</v>
      </c>
      <c r="G283" s="538" t="s">
        <v>8</v>
      </c>
      <c r="H283" s="539" t="s">
        <v>263</v>
      </c>
      <c r="I283" s="540" t="s">
        <v>264</v>
      </c>
      <c r="J283" s="541" t="s">
        <v>265</v>
      </c>
      <c r="K283" s="3"/>
      <c r="L283" s="658"/>
      <c r="M283"/>
      <c r="N283"/>
      <c r="P283" s="32"/>
      <c r="AG283" s="705"/>
      <c r="AH283" s="705"/>
      <c r="AI283" s="705"/>
      <c r="AJ283" s="713"/>
      <c r="AK283" s="705"/>
      <c r="AL283" s="705"/>
      <c r="AM283" s="705"/>
      <c r="AN283" s="705"/>
      <c r="AO283" s="706"/>
      <c r="AP283" s="706"/>
      <c r="AQ283" s="705"/>
      <c r="AR283" s="705"/>
      <c r="AS283" s="705"/>
    </row>
    <row r="284" spans="2:46" ht="16.5" customHeight="1">
      <c r="B284" s="99"/>
      <c r="C284" s="774" t="s">
        <v>199</v>
      </c>
      <c r="D284" s="543"/>
      <c r="E284" s="544"/>
      <c r="F284" s="545"/>
      <c r="G284" s="545"/>
      <c r="H284" s="775"/>
      <c r="I284" s="587"/>
      <c r="J284" s="548"/>
      <c r="K284" s="3"/>
      <c r="L284"/>
      <c r="M284" s="169"/>
      <c r="N284"/>
      <c r="P284" s="32"/>
      <c r="AA284" s="13"/>
      <c r="AD284" s="24"/>
      <c r="AE284" s="30"/>
    </row>
    <row r="285" spans="2:46" ht="14.25" customHeight="1">
      <c r="B285" s="550" t="s">
        <v>266</v>
      </c>
      <c r="C285" s="256" t="s">
        <v>971</v>
      </c>
      <c r="D285" s="551">
        <v>60</v>
      </c>
      <c r="E285" s="2402">
        <v>1.0249999999999999</v>
      </c>
      <c r="F285" s="381">
        <v>3.0030000000000001</v>
      </c>
      <c r="G285" s="381">
        <v>5.0750000000000002</v>
      </c>
      <c r="H285" s="1388">
        <v>51.42</v>
      </c>
      <c r="I285" s="589">
        <v>4</v>
      </c>
      <c r="J285" s="834" t="s">
        <v>360</v>
      </c>
      <c r="K285" s="3"/>
      <c r="L285" s="63"/>
      <c r="M285" s="116"/>
      <c r="N285" s="150"/>
      <c r="P285"/>
      <c r="AB285" s="18"/>
      <c r="AD285" s="2"/>
      <c r="AE285" s="32"/>
      <c r="AP285" s="43"/>
      <c r="AR285" s="43"/>
    </row>
    <row r="286" spans="2:46" ht="15.75" customHeight="1">
      <c r="B286" s="553" t="s">
        <v>267</v>
      </c>
      <c r="C286" s="1088" t="s">
        <v>504</v>
      </c>
      <c r="D286" s="551">
        <v>100</v>
      </c>
      <c r="E286" s="386">
        <v>11.853</v>
      </c>
      <c r="F286" s="380">
        <v>11.157999999999999</v>
      </c>
      <c r="G286" s="387">
        <v>10.811</v>
      </c>
      <c r="H286" s="1384">
        <v>180.285</v>
      </c>
      <c r="I286" s="580">
        <v>53</v>
      </c>
      <c r="J286" s="558" t="s">
        <v>503</v>
      </c>
      <c r="K286" s="3"/>
      <c r="L286" s="32"/>
      <c r="M286" s="116"/>
      <c r="N286" s="66"/>
      <c r="P286" s="9"/>
      <c r="AA286" s="688"/>
      <c r="AB286" s="653"/>
      <c r="AC286" s="653"/>
      <c r="AD286" s="653"/>
      <c r="AE286" s="653"/>
      <c r="AJ286" s="715"/>
      <c r="AR286" s="43"/>
    </row>
    <row r="287" spans="2:46" ht="13.5" customHeight="1">
      <c r="B287" s="555" t="s">
        <v>13</v>
      </c>
      <c r="C287" s="495" t="s">
        <v>379</v>
      </c>
      <c r="D287" s="561">
        <v>180</v>
      </c>
      <c r="E287" s="2392">
        <v>4.8140000000000001</v>
      </c>
      <c r="F287" s="380">
        <v>7.415</v>
      </c>
      <c r="G287" s="380">
        <v>24.41</v>
      </c>
      <c r="H287" s="1384">
        <v>183.63200000000001</v>
      </c>
      <c r="I287" s="219">
        <v>34</v>
      </c>
      <c r="J287" s="558" t="s">
        <v>321</v>
      </c>
      <c r="K287" s="3"/>
      <c r="L287" s="32"/>
      <c r="M287" s="4"/>
      <c r="N287" s="9"/>
      <c r="P287"/>
      <c r="AA287" s="689"/>
      <c r="AB287" s="689"/>
      <c r="AC287" s="689"/>
      <c r="AD287" s="689"/>
      <c r="AE287" s="689"/>
      <c r="AG287" s="440"/>
      <c r="AH287" s="40"/>
    </row>
    <row r="288" spans="2:46">
      <c r="B288" s="559" t="s">
        <v>273</v>
      </c>
      <c r="C288" s="595" t="s">
        <v>644</v>
      </c>
      <c r="D288" s="561">
        <v>200</v>
      </c>
      <c r="E288" s="2392">
        <v>0.42</v>
      </c>
      <c r="F288" s="380">
        <v>0.02</v>
      </c>
      <c r="G288" s="380">
        <v>27.483000000000001</v>
      </c>
      <c r="H288" s="1384">
        <v>111.792</v>
      </c>
      <c r="I288" s="580">
        <v>82</v>
      </c>
      <c r="J288" s="549" t="s">
        <v>802</v>
      </c>
      <c r="K288" s="3"/>
      <c r="L288" s="2283"/>
      <c r="M288" s="4"/>
      <c r="N288" s="9"/>
      <c r="P288" s="32"/>
      <c r="AA288" s="1"/>
      <c r="AB288" s="1"/>
      <c r="AC288" s="1"/>
      <c r="AD288" s="1"/>
      <c r="AH288" s="40"/>
    </row>
    <row r="289" spans="2:35">
      <c r="B289" s="559"/>
      <c r="C289" s="556" t="s">
        <v>11</v>
      </c>
      <c r="D289" s="561">
        <v>50</v>
      </c>
      <c r="E289" s="2392">
        <v>2.63</v>
      </c>
      <c r="F289" s="380">
        <v>0.35</v>
      </c>
      <c r="G289" s="380">
        <v>20.399999999999999</v>
      </c>
      <c r="H289" s="1384">
        <v>95.27</v>
      </c>
      <c r="I289" s="219">
        <v>11</v>
      </c>
      <c r="J289" s="558" t="s">
        <v>10</v>
      </c>
      <c r="K289" s="3"/>
      <c r="L289" s="32"/>
      <c r="M289" s="4"/>
      <c r="N289" s="9"/>
      <c r="P289"/>
      <c r="AA289" s="44"/>
      <c r="AB289" s="223"/>
      <c r="AC289" s="44"/>
      <c r="AD289" s="44"/>
      <c r="AE289" s="153"/>
      <c r="AG289" s="2"/>
      <c r="AH289" s="40"/>
    </row>
    <row r="290" spans="2:35" ht="15.75" thickBot="1">
      <c r="B290" s="89"/>
      <c r="C290" s="563" t="s">
        <v>792</v>
      </c>
      <c r="D290" s="574">
        <v>30</v>
      </c>
      <c r="E290" s="2392">
        <v>1.6950000000000001</v>
      </c>
      <c r="F290" s="380">
        <v>0.36</v>
      </c>
      <c r="G290" s="380">
        <v>12.56</v>
      </c>
      <c r="H290" s="1298">
        <v>60.26</v>
      </c>
      <c r="I290" s="562">
        <v>12</v>
      </c>
      <c r="J290" s="558" t="s">
        <v>10</v>
      </c>
      <c r="K290" s="3"/>
      <c r="L290" s="32"/>
      <c r="M290" s="4"/>
      <c r="N290" s="9"/>
      <c r="P290"/>
      <c r="AA290" s="153"/>
      <c r="AB290" s="147"/>
      <c r="AC290" s="153"/>
      <c r="AD290" s="153"/>
      <c r="AE290" s="153"/>
      <c r="AG290" s="32"/>
      <c r="AH290" s="4"/>
      <c r="AI290" s="8"/>
    </row>
    <row r="291" spans="2:35" ht="14.25" customHeight="1">
      <c r="B291" s="565" t="s">
        <v>283</v>
      </c>
      <c r="D291" s="169">
        <f>SUM(D285:D290)</f>
        <v>620</v>
      </c>
      <c r="E291" s="566">
        <f>SUM(E285:E290)</f>
        <v>22.437000000000001</v>
      </c>
      <c r="F291" s="1353">
        <f>SUM(F285:F290)</f>
        <v>22.306000000000001</v>
      </c>
      <c r="G291" s="567">
        <f>SUM(G285:G290)</f>
        <v>100.739</v>
      </c>
      <c r="H291" s="2486">
        <f>SUM(H285:H290)</f>
        <v>682.65899999999999</v>
      </c>
      <c r="I291" s="1286" t="s">
        <v>482</v>
      </c>
      <c r="J291" s="1020" t="s">
        <v>280</v>
      </c>
      <c r="K291" s="22"/>
      <c r="L291" s="1481"/>
      <c r="M291" s="40"/>
      <c r="N291" s="1140"/>
      <c r="P291"/>
      <c r="AA291" s="153"/>
      <c r="AB291" s="153"/>
      <c r="AC291" s="153"/>
      <c r="AD291" s="153"/>
      <c r="AE291" s="153"/>
      <c r="AG291" s="32"/>
      <c r="AH291" s="13"/>
      <c r="AI291" s="8"/>
    </row>
    <row r="292" spans="2:35" ht="12.75" customHeight="1">
      <c r="B292" s="513"/>
      <c r="C292" s="1368" t="s">
        <v>12</v>
      </c>
      <c r="D292" s="2320">
        <v>0.25</v>
      </c>
      <c r="E292" s="2349">
        <v>22.5</v>
      </c>
      <c r="F292" s="2350">
        <v>23</v>
      </c>
      <c r="G292" s="2327">
        <v>95.75</v>
      </c>
      <c r="H292" s="2328">
        <v>680</v>
      </c>
      <c r="I292" s="1030">
        <f>H292-H291</f>
        <v>-2.6589999999999918</v>
      </c>
      <c r="J292" s="2314" t="s">
        <v>938</v>
      </c>
      <c r="K292" s="1029"/>
      <c r="L292"/>
      <c r="M292" s="40"/>
      <c r="N292"/>
      <c r="P292"/>
      <c r="AA292" s="44"/>
      <c r="AB292" s="44"/>
      <c r="AC292" s="44"/>
      <c r="AD292" s="44"/>
      <c r="AE292" s="153"/>
      <c r="AG292" s="117"/>
    </row>
    <row r="293" spans="2:35" ht="17.25" customHeight="1" thickBot="1">
      <c r="B293" s="237"/>
      <c r="C293" s="1347" t="s">
        <v>957</v>
      </c>
      <c r="D293" s="2323"/>
      <c r="E293" s="2421">
        <f>(E291*100/E316)-25</f>
        <v>-6.9999999999996732E-2</v>
      </c>
      <c r="F293" s="586">
        <f t="shared" ref="F293:H293" si="18">(F291*100/F316)-25</f>
        <v>-0.75434782608695627</v>
      </c>
      <c r="G293" s="586">
        <f t="shared" si="18"/>
        <v>1.3026109660574399</v>
      </c>
      <c r="H293" s="2487">
        <f t="shared" si="18"/>
        <v>9.7757352941172826E-2</v>
      </c>
      <c r="I293" s="2324"/>
      <c r="J293" s="2325"/>
      <c r="P293" s="20"/>
      <c r="AA293" s="153"/>
      <c r="AB293" s="153"/>
      <c r="AC293" s="153"/>
      <c r="AD293" s="153"/>
      <c r="AE293" s="153"/>
      <c r="AH293" s="169"/>
    </row>
    <row r="294" spans="2:35" ht="15.75" customHeight="1">
      <c r="B294" s="99"/>
      <c r="C294" s="542" t="s">
        <v>152</v>
      </c>
      <c r="D294" s="99"/>
      <c r="E294" s="194"/>
      <c r="F294" s="2447"/>
      <c r="G294" s="2447"/>
      <c r="H294" s="2447"/>
      <c r="I294" s="571"/>
      <c r="J294" s="571"/>
      <c r="K294" s="3"/>
      <c r="L294" s="63"/>
      <c r="M294" s="169"/>
      <c r="N294"/>
      <c r="P294"/>
      <c r="AA294" s="44"/>
      <c r="AB294" s="44"/>
      <c r="AC294" s="44"/>
      <c r="AD294" s="44"/>
      <c r="AE294" s="153"/>
    </row>
    <row r="295" spans="2:35" ht="15" customHeight="1">
      <c r="B295" s="550" t="s">
        <v>266</v>
      </c>
      <c r="C295" s="582" t="s">
        <v>375</v>
      </c>
      <c r="D295" s="561">
        <v>60</v>
      </c>
      <c r="E295" s="2392">
        <v>0.7</v>
      </c>
      <c r="F295" s="380">
        <v>0.1</v>
      </c>
      <c r="G295" s="380">
        <v>2.2999999999999998</v>
      </c>
      <c r="H295" s="1384">
        <v>12.8</v>
      </c>
      <c r="I295" s="557">
        <v>2</v>
      </c>
      <c r="J295" s="644" t="s">
        <v>645</v>
      </c>
      <c r="K295" s="3"/>
      <c r="L295" s="1396"/>
      <c r="M295" s="4"/>
      <c r="N295" s="9"/>
      <c r="P295" s="170"/>
      <c r="Q295" s="176"/>
      <c r="AA295" s="44"/>
      <c r="AB295" s="44"/>
      <c r="AC295" s="44"/>
      <c r="AD295" s="44"/>
      <c r="AE295" s="153"/>
    </row>
    <row r="296" spans="2:35" ht="15" customHeight="1">
      <c r="B296" s="553" t="s">
        <v>267</v>
      </c>
      <c r="C296" s="591" t="s">
        <v>277</v>
      </c>
      <c r="D296" s="561">
        <v>250</v>
      </c>
      <c r="E296" s="2443">
        <v>3.5619999999999998</v>
      </c>
      <c r="F296" s="384">
        <v>6.1139999999999999</v>
      </c>
      <c r="G296" s="384">
        <v>18.751000000000001</v>
      </c>
      <c r="H296" s="1384">
        <v>144.27699999999999</v>
      </c>
      <c r="I296" s="776">
        <v>20</v>
      </c>
      <c r="J296" s="549" t="s">
        <v>803</v>
      </c>
      <c r="K296" s="3"/>
      <c r="L296" s="2283"/>
      <c r="M296" s="4"/>
      <c r="N296" s="150"/>
      <c r="P296" s="32"/>
      <c r="AA296" s="46"/>
      <c r="AB296" s="214"/>
      <c r="AC296" s="214"/>
      <c r="AD296" s="46"/>
      <c r="AE296" s="66"/>
    </row>
    <row r="297" spans="2:35" ht="15.75">
      <c r="B297" s="555" t="s">
        <v>13</v>
      </c>
      <c r="C297" s="283" t="s">
        <v>489</v>
      </c>
      <c r="D297" s="561">
        <v>100</v>
      </c>
      <c r="E297" s="2443">
        <v>11.94</v>
      </c>
      <c r="F297" s="384">
        <v>12.920999999999999</v>
      </c>
      <c r="G297" s="384">
        <v>9.0229999999999997</v>
      </c>
      <c r="H297" s="1384">
        <v>200.14099999999999</v>
      </c>
      <c r="I297" s="580">
        <v>71</v>
      </c>
      <c r="J297" s="558" t="s">
        <v>433</v>
      </c>
      <c r="K297" s="3"/>
      <c r="L297" s="45"/>
      <c r="M297" s="4"/>
      <c r="N297" s="9"/>
      <c r="P297" s="32"/>
      <c r="AA297" s="1"/>
      <c r="AB297" s="1"/>
      <c r="AC297" s="1"/>
      <c r="AD297" s="1"/>
      <c r="AG297" s="45"/>
      <c r="AH297" s="4"/>
      <c r="AI297" s="46"/>
    </row>
    <row r="298" spans="2:35">
      <c r="B298" s="559" t="s">
        <v>273</v>
      </c>
      <c r="C298" s="283" t="s">
        <v>386</v>
      </c>
      <c r="D298" s="551" t="s">
        <v>646</v>
      </c>
      <c r="E298" s="2414">
        <v>7.7220000000000004</v>
      </c>
      <c r="F298" s="381">
        <v>11.462</v>
      </c>
      <c r="G298" s="2415">
        <v>36.591000000000001</v>
      </c>
      <c r="H298" s="1388">
        <v>280.41000000000003</v>
      </c>
      <c r="I298" s="589">
        <v>35</v>
      </c>
      <c r="J298" s="1521" t="s">
        <v>804</v>
      </c>
      <c r="K298" s="3"/>
      <c r="L298" s="32"/>
      <c r="M298" s="4"/>
      <c r="N298" s="32"/>
      <c r="P298"/>
      <c r="AA298" s="383"/>
      <c r="AB298" s="720"/>
      <c r="AC298" s="383"/>
      <c r="AD298" s="383"/>
      <c r="AE298" s="153"/>
      <c r="AG298" s="385"/>
      <c r="AH298" s="4"/>
      <c r="AI298" s="46"/>
    </row>
    <row r="299" spans="2:35" ht="13.5" customHeight="1">
      <c r="B299" s="553"/>
      <c r="C299" s="167" t="s">
        <v>591</v>
      </c>
      <c r="D299" s="590"/>
      <c r="E299" s="1534"/>
      <c r="F299" s="2444"/>
      <c r="G299" s="147"/>
      <c r="H299" s="1466"/>
      <c r="I299" s="593"/>
      <c r="J299" s="781"/>
      <c r="K299" s="3"/>
      <c r="L299" s="63"/>
      <c r="M299" s="4"/>
      <c r="N299"/>
      <c r="P299" s="45"/>
      <c r="AA299" s="44"/>
      <c r="AB299" s="44"/>
      <c r="AC299" s="44"/>
      <c r="AD299" s="44"/>
      <c r="AE299" s="119"/>
      <c r="AG299" s="44"/>
      <c r="AH299" s="4"/>
      <c r="AI299" s="8"/>
    </row>
    <row r="300" spans="2:35" ht="14.25" customHeight="1">
      <c r="B300" s="555"/>
      <c r="C300" s="241" t="s">
        <v>587</v>
      </c>
      <c r="D300" s="561">
        <v>200</v>
      </c>
      <c r="E300" s="2392">
        <v>1.6</v>
      </c>
      <c r="F300" s="380">
        <v>0.2</v>
      </c>
      <c r="G300" s="380">
        <v>18.2</v>
      </c>
      <c r="H300" s="1384">
        <v>81</v>
      </c>
      <c r="I300" s="581">
        <v>76</v>
      </c>
      <c r="J300" s="558" t="s">
        <v>9</v>
      </c>
      <c r="L300" s="32"/>
      <c r="M300" s="4"/>
      <c r="N300" s="9"/>
      <c r="P300" s="222"/>
      <c r="AA300" s="691"/>
      <c r="AB300" s="691"/>
      <c r="AC300" s="692"/>
      <c r="AD300" s="690"/>
      <c r="AE300" s="430"/>
      <c r="AG300" s="44"/>
      <c r="AH300" s="4"/>
      <c r="AI300" s="8"/>
    </row>
    <row r="301" spans="2:35" ht="13.5" customHeight="1">
      <c r="B301" s="559"/>
      <c r="C301" s="424" t="s">
        <v>11</v>
      </c>
      <c r="D301" s="561">
        <v>60</v>
      </c>
      <c r="E301" s="2392">
        <v>3.16</v>
      </c>
      <c r="F301" s="380">
        <v>0.42</v>
      </c>
      <c r="G301" s="380">
        <v>24.48</v>
      </c>
      <c r="H301" s="1384">
        <v>114.34</v>
      </c>
      <c r="I301" s="557">
        <v>11</v>
      </c>
      <c r="J301" s="558" t="s">
        <v>10</v>
      </c>
      <c r="K301" s="3"/>
      <c r="L301" s="32"/>
      <c r="M301" s="4"/>
      <c r="N301" s="9"/>
      <c r="P301" s="55"/>
      <c r="AA301" s="44"/>
      <c r="AB301" s="44"/>
      <c r="AC301" s="44"/>
      <c r="AD301" s="44"/>
      <c r="AE301" s="153"/>
      <c r="AG301" s="33"/>
      <c r="AH301" s="4"/>
      <c r="AI301" s="8"/>
    </row>
    <row r="302" spans="2:35" ht="14.25" customHeight="1">
      <c r="B302" s="89"/>
      <c r="C302" s="495" t="s">
        <v>792</v>
      </c>
      <c r="D302" s="551">
        <v>40</v>
      </c>
      <c r="E302" s="2392">
        <v>2.2599999999999998</v>
      </c>
      <c r="F302" s="380">
        <v>0.48</v>
      </c>
      <c r="G302" s="380">
        <v>16.739999999999998</v>
      </c>
      <c r="H302" s="1388">
        <v>80.319999999999993</v>
      </c>
      <c r="I302" s="589">
        <v>12</v>
      </c>
      <c r="J302" s="552" t="s">
        <v>10</v>
      </c>
      <c r="K302" s="3"/>
      <c r="L302" s="32"/>
      <c r="M302" s="4"/>
      <c r="N302" s="9"/>
      <c r="P302" s="44"/>
      <c r="AA302" s="44"/>
      <c r="AB302" s="44"/>
      <c r="AC302" s="44"/>
      <c r="AD302" s="44"/>
      <c r="AE302" s="153"/>
      <c r="AH302" s="40"/>
    </row>
    <row r="303" spans="2:35" ht="16.5" customHeight="1" thickBot="1">
      <c r="B303" s="871"/>
      <c r="C303" s="188" t="s">
        <v>1012</v>
      </c>
      <c r="D303" s="574">
        <v>105</v>
      </c>
      <c r="E303" s="2421">
        <v>0.82</v>
      </c>
      <c r="F303" s="586">
        <v>0.154</v>
      </c>
      <c r="G303" s="586">
        <v>8.5540000000000003</v>
      </c>
      <c r="H303" s="2457">
        <v>38.881999999999998</v>
      </c>
      <c r="I303" s="767">
        <v>75</v>
      </c>
      <c r="J303" s="549" t="s">
        <v>1004</v>
      </c>
      <c r="K303" s="3"/>
      <c r="L303" s="2283"/>
      <c r="M303" s="4"/>
      <c r="N303" s="9"/>
      <c r="P303"/>
      <c r="AA303" s="44"/>
      <c r="AB303" s="44"/>
      <c r="AC303" s="44"/>
      <c r="AD303" s="44"/>
      <c r="AE303" s="153"/>
      <c r="AH303" s="40"/>
    </row>
    <row r="304" spans="2:35" ht="12.75" customHeight="1">
      <c r="B304" s="565" t="s">
        <v>269</v>
      </c>
      <c r="C304" s="1283"/>
      <c r="D304" s="169">
        <f>D295+D296+D297+D300+D301+D302+D303+155+35</f>
        <v>1005</v>
      </c>
      <c r="E304" s="575">
        <f>SUM(E295:E303)</f>
        <v>31.764000000000003</v>
      </c>
      <c r="F304" s="1353">
        <f>SUM(F295:F303)</f>
        <v>31.850999999999999</v>
      </c>
      <c r="G304" s="576">
        <f>SUM(G295:G303)</f>
        <v>134.63900000000001</v>
      </c>
      <c r="H304" s="2486">
        <f>SUM(H295:H303)</f>
        <v>952.17</v>
      </c>
      <c r="I304" s="1286" t="s">
        <v>482</v>
      </c>
      <c r="J304" s="1020" t="s">
        <v>280</v>
      </c>
      <c r="K304" s="22"/>
      <c r="L304" s="1481"/>
      <c r="M304" s="40"/>
      <c r="N304" s="1140"/>
      <c r="P304"/>
      <c r="AA304" s="44"/>
      <c r="AB304" s="44"/>
      <c r="AC304" s="223"/>
      <c r="AD304" s="44"/>
      <c r="AE304" s="153"/>
      <c r="AG304" s="63"/>
      <c r="AH304" s="169"/>
    </row>
    <row r="305" spans="2:35">
      <c r="B305" s="513"/>
      <c r="C305" s="1368" t="s">
        <v>12</v>
      </c>
      <c r="D305" s="2320">
        <v>0.35</v>
      </c>
      <c r="E305" s="2349">
        <v>31.5</v>
      </c>
      <c r="F305" s="2350">
        <v>32.200000000000003</v>
      </c>
      <c r="G305" s="2327">
        <v>134.05000000000001</v>
      </c>
      <c r="H305" s="2328">
        <v>952</v>
      </c>
      <c r="I305" s="1030">
        <f>H305-H304</f>
        <v>-0.16999999999995907</v>
      </c>
      <c r="J305" s="2314" t="s">
        <v>938</v>
      </c>
      <c r="K305" s="1029"/>
      <c r="L305"/>
      <c r="M305" s="40"/>
      <c r="N305"/>
      <c r="P305" s="32"/>
      <c r="AA305" s="46"/>
      <c r="AB305" s="214"/>
      <c r="AC305" s="46"/>
      <c r="AD305" s="46"/>
      <c r="AE305" s="66"/>
      <c r="AG305" s="63"/>
      <c r="AH305" s="4"/>
      <c r="AI305" s="116"/>
    </row>
    <row r="306" spans="2:35" ht="15.75" thickBot="1">
      <c r="B306" s="237"/>
      <c r="C306" s="1347" t="s">
        <v>957</v>
      </c>
      <c r="D306" s="2323"/>
      <c r="E306" s="2421">
        <f>(E304*100/E316)-35</f>
        <v>0.29333333333333655</v>
      </c>
      <c r="F306" s="586">
        <f t="shared" ref="F306:H306" si="19">(F304*100/F316)-35</f>
        <v>-0.37934782608695627</v>
      </c>
      <c r="G306" s="586">
        <f t="shared" si="19"/>
        <v>0.15378590078329069</v>
      </c>
      <c r="H306" s="2487">
        <f t="shared" si="19"/>
        <v>6.2500000000014211E-3</v>
      </c>
      <c r="I306" s="2324"/>
      <c r="J306" s="2325"/>
      <c r="K306" s="3"/>
      <c r="L306"/>
      <c r="M306" s="40"/>
      <c r="N306"/>
      <c r="P306" s="119"/>
      <c r="AA306" s="714"/>
      <c r="AB306" s="434"/>
      <c r="AC306" s="434"/>
      <c r="AD306" s="435"/>
      <c r="AE306" s="435"/>
      <c r="AH306" s="169"/>
    </row>
    <row r="307" spans="2:35">
      <c r="B307" s="550" t="s">
        <v>266</v>
      </c>
      <c r="C307" s="832" t="s">
        <v>324</v>
      </c>
      <c r="D307" s="99"/>
      <c r="E307" s="2446"/>
      <c r="F307" s="2447"/>
      <c r="G307" s="2447"/>
      <c r="H307" s="2497"/>
      <c r="I307" s="571"/>
      <c r="J307" s="571"/>
      <c r="K307" s="3"/>
      <c r="L307" s="63"/>
      <c r="M307" s="169"/>
      <c r="N307" s="3"/>
      <c r="P307" s="32"/>
      <c r="AA307" s="432"/>
      <c r="AB307" s="432"/>
      <c r="AC307" s="437"/>
      <c r="AD307" s="437"/>
      <c r="AE307" s="438"/>
      <c r="AG307" s="119"/>
      <c r="AH307" s="4"/>
      <c r="AI307" s="9"/>
    </row>
    <row r="308" spans="2:35">
      <c r="B308" s="553" t="s">
        <v>267</v>
      </c>
      <c r="C308" s="595" t="s">
        <v>593</v>
      </c>
      <c r="D308" s="429">
        <v>200</v>
      </c>
      <c r="E308" s="2392">
        <v>0.3</v>
      </c>
      <c r="F308" s="380">
        <v>0</v>
      </c>
      <c r="G308" s="380">
        <v>5.7859999999999996</v>
      </c>
      <c r="H308" s="1384">
        <v>24.544</v>
      </c>
      <c r="I308" s="557">
        <v>91</v>
      </c>
      <c r="J308" s="549" t="s">
        <v>805</v>
      </c>
      <c r="K308" s="3"/>
      <c r="L308" s="2283"/>
      <c r="M308" s="4"/>
      <c r="N308" s="66"/>
      <c r="P308" s="32"/>
      <c r="T308" s="169"/>
      <c r="U308" s="3"/>
      <c r="V308" s="1"/>
      <c r="W308" s="1"/>
      <c r="X308" s="1"/>
      <c r="Y308" s="1"/>
      <c r="Z308" s="1"/>
      <c r="AA308" s="1"/>
      <c r="AB308" s="1"/>
      <c r="AC308" s="1"/>
      <c r="AD308" s="1"/>
      <c r="AG308" s="45"/>
      <c r="AH308" s="4"/>
      <c r="AI308" s="9"/>
    </row>
    <row r="309" spans="2:35" ht="18" customHeight="1">
      <c r="B309" s="555" t="s">
        <v>13</v>
      </c>
      <c r="C309" s="2385" t="s">
        <v>969</v>
      </c>
      <c r="D309" s="551">
        <v>100</v>
      </c>
      <c r="E309" s="2414">
        <v>5.4450000000000003</v>
      </c>
      <c r="F309" s="381">
        <v>9.74</v>
      </c>
      <c r="G309" s="2415">
        <v>9.4019999999999992</v>
      </c>
      <c r="H309" s="1384">
        <v>146.846</v>
      </c>
      <c r="I309" s="589">
        <v>54</v>
      </c>
      <c r="J309" s="780" t="s">
        <v>968</v>
      </c>
      <c r="K309" s="3"/>
      <c r="L309" s="32"/>
      <c r="M309" s="299"/>
      <c r="N309" s="66"/>
      <c r="P309" s="32"/>
      <c r="Z309" s="722"/>
      <c r="AA309" s="688"/>
      <c r="AB309" s="653"/>
      <c r="AC309" s="653"/>
      <c r="AD309" s="653"/>
      <c r="AE309" s="653"/>
      <c r="AG309" s="385"/>
      <c r="AH309" s="218"/>
      <c r="AI309" s="150"/>
    </row>
    <row r="310" spans="2:35" ht="17.25" customHeight="1" thickBot="1">
      <c r="B310" s="559" t="s">
        <v>273</v>
      </c>
      <c r="C310" s="563" t="s">
        <v>792</v>
      </c>
      <c r="D310" s="574">
        <v>50</v>
      </c>
      <c r="E310" s="2402">
        <v>2.83</v>
      </c>
      <c r="F310" s="381">
        <v>0.6</v>
      </c>
      <c r="G310" s="381">
        <v>20.93</v>
      </c>
      <c r="H310" s="1384">
        <v>100.44</v>
      </c>
      <c r="I310" s="589">
        <v>12</v>
      </c>
      <c r="J310" s="558" t="s">
        <v>10</v>
      </c>
      <c r="K310" s="22"/>
      <c r="L310" s="32"/>
      <c r="M310" s="4"/>
      <c r="N310" s="689"/>
      <c r="P310" s="45"/>
      <c r="AA310" s="689"/>
      <c r="AB310" s="689"/>
      <c r="AC310" s="689"/>
      <c r="AD310" s="689"/>
      <c r="AE310" s="689"/>
      <c r="AG310" s="32"/>
      <c r="AH310" s="4"/>
      <c r="AI310" s="9"/>
    </row>
    <row r="311" spans="2:35" ht="18.75" customHeight="1">
      <c r="B311" s="565" t="s">
        <v>357</v>
      </c>
      <c r="C311" s="34"/>
      <c r="D311" s="577">
        <f>SUM(D308:D310)</f>
        <v>350</v>
      </c>
      <c r="E311" s="575">
        <f>SUM(E308:E310)</f>
        <v>8.5749999999999993</v>
      </c>
      <c r="F311" s="1353">
        <f>SUM(F308:F310)</f>
        <v>10.34</v>
      </c>
      <c r="G311" s="576">
        <f>SUM(G308:G310)</f>
        <v>36.117999999999995</v>
      </c>
      <c r="H311" s="2486">
        <f>SUM(H308:H310)</f>
        <v>271.83000000000004</v>
      </c>
      <c r="I311" s="1286" t="s">
        <v>482</v>
      </c>
      <c r="J311" s="1020" t="s">
        <v>280</v>
      </c>
      <c r="K311" s="1031"/>
      <c r="L311" s="2580"/>
      <c r="M311" s="40"/>
      <c r="N311" s="169"/>
      <c r="P311" s="45"/>
      <c r="AA311" s="1"/>
      <c r="AB311" s="1"/>
      <c r="AC311" s="1"/>
      <c r="AD311" s="1"/>
      <c r="AG311" s="32"/>
      <c r="AH311" s="4"/>
      <c r="AI311" s="9"/>
    </row>
    <row r="312" spans="2:35" ht="12.75" customHeight="1">
      <c r="B312" s="513"/>
      <c r="C312" s="1368" t="s">
        <v>12</v>
      </c>
      <c r="D312" s="2320">
        <v>0.1</v>
      </c>
      <c r="E312" s="2349">
        <v>9</v>
      </c>
      <c r="F312" s="2350">
        <v>9.1999999999999993</v>
      </c>
      <c r="G312" s="2327">
        <v>38.299999999999997</v>
      </c>
      <c r="H312" s="2328">
        <v>272</v>
      </c>
      <c r="I312" s="2351">
        <f>H312-H311</f>
        <v>0.16999999999995907</v>
      </c>
      <c r="J312" s="2314" t="s">
        <v>938</v>
      </c>
      <c r="K312" s="3"/>
      <c r="L312"/>
      <c r="M312" s="40"/>
      <c r="N312"/>
      <c r="P312"/>
      <c r="AA312" s="691"/>
      <c r="AB312" s="691"/>
      <c r="AC312" s="692"/>
      <c r="AD312" s="692"/>
      <c r="AE312" s="153"/>
      <c r="AG312" s="63"/>
      <c r="AH312" s="169"/>
    </row>
    <row r="313" spans="2:35" ht="15.75" customHeight="1" thickBot="1">
      <c r="B313" s="237"/>
      <c r="C313" s="1347" t="s">
        <v>957</v>
      </c>
      <c r="D313" s="2323"/>
      <c r="E313" s="2421">
        <f>(E311*100/E316)-10</f>
        <v>-0.47222222222222321</v>
      </c>
      <c r="F313" s="586">
        <f t="shared" ref="F313:G313" si="20">(F311*100/F316)-10</f>
        <v>1.2391304347826093</v>
      </c>
      <c r="G313" s="586">
        <f t="shared" si="20"/>
        <v>-0.56971279373368411</v>
      </c>
      <c r="H313" s="2487">
        <f>(H311*100/H316)-10</f>
        <v>-6.2499999999978684E-3</v>
      </c>
      <c r="I313" s="2324"/>
      <c r="J313" s="2325"/>
      <c r="K313" s="3"/>
      <c r="P313" s="9"/>
      <c r="AA313" s="44"/>
      <c r="AB313" s="223"/>
      <c r="AC313" s="44"/>
      <c r="AD313" s="44"/>
      <c r="AE313" s="153"/>
      <c r="AG313" s="63"/>
      <c r="AH313" s="4"/>
      <c r="AI313" s="150"/>
    </row>
    <row r="314" spans="2:35" ht="14.25" customHeight="1" thickBot="1">
      <c r="E314" s="194"/>
      <c r="F314" s="194"/>
      <c r="G314" s="194"/>
      <c r="H314" s="194"/>
      <c r="K314" s="3"/>
      <c r="P314" s="383"/>
      <c r="AA314" s="44"/>
      <c r="AB314" s="223"/>
      <c r="AC314" s="44"/>
      <c r="AD314" s="44"/>
      <c r="AE314" s="119"/>
      <c r="AG314" s="32"/>
      <c r="AH314" s="116"/>
      <c r="AI314" s="66"/>
    </row>
    <row r="315" spans="2:35" ht="15.75">
      <c r="B315" s="2331"/>
      <c r="C315" s="2332"/>
      <c r="D315" s="2333"/>
      <c r="E315" s="2489" t="s">
        <v>6</v>
      </c>
      <c r="F315" s="2490" t="s">
        <v>7</v>
      </c>
      <c r="G315" s="2490" t="s">
        <v>8</v>
      </c>
      <c r="H315" s="2491" t="s">
        <v>958</v>
      </c>
      <c r="I315" s="2334"/>
      <c r="J315" s="2333"/>
      <c r="K315" s="3"/>
      <c r="P315"/>
      <c r="AA315" s="44"/>
      <c r="AB315" s="44"/>
      <c r="AC315" s="44"/>
      <c r="AD315" s="44"/>
      <c r="AE315" s="153"/>
    </row>
    <row r="316" spans="2:35" ht="15.75" thickBot="1">
      <c r="B316" s="2335"/>
      <c r="C316" s="2336" t="s">
        <v>959</v>
      </c>
      <c r="D316" s="2337">
        <v>1</v>
      </c>
      <c r="E316" s="2492">
        <v>90</v>
      </c>
      <c r="F316" s="2493">
        <v>92</v>
      </c>
      <c r="G316" s="2494">
        <v>383</v>
      </c>
      <c r="H316" s="2495">
        <v>2720</v>
      </c>
      <c r="I316" s="2338" t="s">
        <v>960</v>
      </c>
      <c r="J316" s="2339"/>
      <c r="K316" s="3"/>
      <c r="P316" s="383"/>
      <c r="AA316" s="44"/>
      <c r="AB316" s="44"/>
      <c r="AC316" s="44"/>
      <c r="AD316" s="44"/>
      <c r="AE316" s="153"/>
      <c r="AG316" s="32"/>
      <c r="AH316" s="4"/>
      <c r="AI316" s="9"/>
    </row>
    <row r="317" spans="2:35" ht="16.5" thickBot="1">
      <c r="E317" s="194"/>
      <c r="F317" s="194"/>
      <c r="G317" s="194"/>
      <c r="H317" s="194"/>
      <c r="K317" s="3"/>
      <c r="P317" s="170"/>
      <c r="AA317" s="458"/>
      <c r="AB317" s="214"/>
      <c r="AC317" s="204"/>
      <c r="AD317" s="204"/>
      <c r="AE317" s="66"/>
      <c r="AG317" s="32"/>
      <c r="AH317" s="4"/>
      <c r="AI317" s="9"/>
    </row>
    <row r="318" spans="2:35" ht="16.5" customHeight="1">
      <c r="B318" s="1021"/>
      <c r="C318" s="34" t="s">
        <v>481</v>
      </c>
      <c r="D318" s="35"/>
      <c r="E318" s="145">
        <f>E291+E304</f>
        <v>54.201000000000008</v>
      </c>
      <c r="F318" s="243">
        <f>F291+F304</f>
        <v>54.156999999999996</v>
      </c>
      <c r="G318" s="243">
        <f>G291+G304</f>
        <v>235.37800000000001</v>
      </c>
      <c r="H318" s="1024">
        <f>H291+H304</f>
        <v>1634.829</v>
      </c>
      <c r="I318" s="1286" t="s">
        <v>482</v>
      </c>
      <c r="J318" s="1020" t="s">
        <v>280</v>
      </c>
      <c r="K318" s="3"/>
      <c r="AA318" s="1"/>
      <c r="AB318" s="1"/>
      <c r="AC318" s="1"/>
      <c r="AD318" s="1"/>
      <c r="AG318" s="32"/>
      <c r="AH318" s="4"/>
      <c r="AI318" s="9"/>
    </row>
    <row r="319" spans="2:35" ht="16.5" customHeight="1">
      <c r="B319" s="513"/>
      <c r="C319" s="1368" t="s">
        <v>12</v>
      </c>
      <c r="D319" s="2320">
        <v>0.6</v>
      </c>
      <c r="E319" s="2352">
        <v>54</v>
      </c>
      <c r="F319" s="2353">
        <v>55.2</v>
      </c>
      <c r="G319" s="2341">
        <v>229.8</v>
      </c>
      <c r="H319" s="2342">
        <v>1632</v>
      </c>
      <c r="I319" s="2343">
        <f>H319-H318</f>
        <v>-2.8289999999999509</v>
      </c>
      <c r="J319" s="2314" t="s">
        <v>938</v>
      </c>
      <c r="K319" s="3"/>
      <c r="P319" s="32"/>
      <c r="AA319" s="712"/>
      <c r="AB319" s="147"/>
      <c r="AC319" s="153"/>
      <c r="AD319" s="153"/>
      <c r="AE319" s="153"/>
      <c r="AG319" s="30"/>
      <c r="AH319" s="4"/>
      <c r="AI319" s="9"/>
    </row>
    <row r="320" spans="2:35" ht="15.75" customHeight="1" thickBot="1">
      <c r="B320" s="237"/>
      <c r="C320" s="1347" t="s">
        <v>957</v>
      </c>
      <c r="D320" s="2323"/>
      <c r="E320" s="2421">
        <f>(E318*100/E316)-60</f>
        <v>0.22333333333333627</v>
      </c>
      <c r="F320" s="586">
        <f t="shared" ref="F320:G320" si="21">(F318*100/F316)-60</f>
        <v>-1.1336956521739125</v>
      </c>
      <c r="G320" s="586">
        <f t="shared" si="21"/>
        <v>1.4563968668407412</v>
      </c>
      <c r="H320" s="2487">
        <f>(H318*100/H316)-60</f>
        <v>0.10400735294117425</v>
      </c>
      <c r="I320" s="2324"/>
      <c r="J320" s="2325"/>
      <c r="K320" s="3"/>
      <c r="P320"/>
      <c r="AA320" s="153"/>
      <c r="AB320" s="153"/>
      <c r="AC320" s="153"/>
      <c r="AD320" s="153"/>
      <c r="AE320" s="153"/>
    </row>
    <row r="321" spans="2:45" ht="14.25" customHeight="1" thickBot="1">
      <c r="E321" s="194"/>
      <c r="F321" s="194"/>
      <c r="G321" s="194"/>
      <c r="H321" s="194"/>
      <c r="K321" s="3"/>
      <c r="P321" s="32"/>
      <c r="AA321" s="44"/>
      <c r="AB321" s="44"/>
      <c r="AC321" s="44"/>
      <c r="AD321" s="44"/>
      <c r="AE321" s="153"/>
    </row>
    <row r="322" spans="2:45">
      <c r="B322" s="1021"/>
      <c r="C322" s="34" t="s">
        <v>480</v>
      </c>
      <c r="D322" s="35"/>
      <c r="E322" s="145">
        <f>E304+E311</f>
        <v>40.338999999999999</v>
      </c>
      <c r="F322" s="243">
        <f>F304+F311</f>
        <v>42.191000000000003</v>
      </c>
      <c r="G322" s="243">
        <f>G304+G311</f>
        <v>170.75700000000001</v>
      </c>
      <c r="H322" s="1024">
        <f>H304+H311</f>
        <v>1224</v>
      </c>
      <c r="I322" s="1286" t="s">
        <v>482</v>
      </c>
      <c r="J322" s="1020" t="s">
        <v>280</v>
      </c>
      <c r="K322" s="3"/>
      <c r="P322" s="55"/>
      <c r="AA322" s="152"/>
      <c r="AB322" s="152"/>
      <c r="AC322" s="152"/>
      <c r="AD322" s="152"/>
      <c r="AE322" s="153"/>
    </row>
    <row r="323" spans="2:45" ht="13.5" customHeight="1">
      <c r="B323" s="513"/>
      <c r="C323" s="1368" t="s">
        <v>12</v>
      </c>
      <c r="D323" s="2320">
        <v>0.45</v>
      </c>
      <c r="E323" s="2349">
        <v>40.5</v>
      </c>
      <c r="F323" s="2350">
        <v>41.4</v>
      </c>
      <c r="G323" s="2327">
        <v>172.35</v>
      </c>
      <c r="H323" s="2328">
        <v>1224</v>
      </c>
      <c r="I323" s="1030">
        <f>H323-H322</f>
        <v>0</v>
      </c>
      <c r="J323" s="2314" t="s">
        <v>938</v>
      </c>
      <c r="K323" s="3"/>
      <c r="P323" s="45"/>
      <c r="AA323" s="44"/>
      <c r="AB323" s="44"/>
      <c r="AC323" s="44"/>
      <c r="AD323" s="44"/>
      <c r="AE323" s="153"/>
      <c r="AJ323" s="20"/>
      <c r="AK323" s="363"/>
      <c r="AM323" s="20"/>
      <c r="AN323" s="20"/>
      <c r="AP323" s="43"/>
    </row>
    <row r="324" spans="2:45" ht="13.5" customHeight="1" thickBot="1">
      <c r="B324" s="237"/>
      <c r="C324" s="1347" t="s">
        <v>957</v>
      </c>
      <c r="D324" s="2323"/>
      <c r="E324" s="2421">
        <f>(E322*100/E316)-45</f>
        <v>-0.17888888888889198</v>
      </c>
      <c r="F324" s="586">
        <f t="shared" ref="F324:G324" si="22">(F322*100/F316)-45</f>
        <v>0.85978260869565304</v>
      </c>
      <c r="G324" s="586">
        <f t="shared" si="22"/>
        <v>-0.41592689295038809</v>
      </c>
      <c r="H324" s="2487">
        <f>(H322*100/H316)-45</f>
        <v>0</v>
      </c>
      <c r="I324" s="2324"/>
      <c r="J324" s="2325"/>
      <c r="K324" s="3"/>
      <c r="P324" s="32"/>
      <c r="AA324" s="44"/>
      <c r="AB324" s="44"/>
      <c r="AC324" s="44"/>
      <c r="AD324" s="44"/>
      <c r="AE324" s="153"/>
    </row>
    <row r="325" spans="2:45" ht="15" customHeight="1" thickBot="1">
      <c r="E325" s="194"/>
      <c r="F325" s="194"/>
      <c r="G325" s="194"/>
      <c r="H325" s="194"/>
      <c r="K325" s="3"/>
      <c r="P325" s="32"/>
      <c r="AA325" s="44"/>
      <c r="AB325" s="44"/>
      <c r="AC325" s="223"/>
      <c r="AD325" s="44"/>
      <c r="AE325" s="153"/>
      <c r="AJ325" s="20"/>
      <c r="AK325" s="20"/>
      <c r="AM325" s="20"/>
      <c r="AN325" s="20"/>
      <c r="AP325" s="4"/>
    </row>
    <row r="326" spans="2:45" ht="14.25" customHeight="1">
      <c r="B326" s="1021"/>
      <c r="C326" s="34" t="s">
        <v>358</v>
      </c>
      <c r="D326" s="35"/>
      <c r="E326" s="149">
        <f>E291+E304+E311</f>
        <v>62.77600000000001</v>
      </c>
      <c r="F326" s="109">
        <f>F291+F304+F311</f>
        <v>64.497</v>
      </c>
      <c r="G326" s="109">
        <f>G291+G304+G311</f>
        <v>271.49599999999998</v>
      </c>
      <c r="H326" s="244">
        <f>H291+H304+H311</f>
        <v>1906.6590000000001</v>
      </c>
      <c r="I326" s="1286" t="s">
        <v>482</v>
      </c>
      <c r="J326" s="1020" t="s">
        <v>280</v>
      </c>
      <c r="K326" s="3"/>
      <c r="P326"/>
      <c r="AA326" s="458"/>
      <c r="AB326" s="214"/>
      <c r="AC326" s="46"/>
      <c r="AD326" s="46"/>
      <c r="AE326" s="66"/>
      <c r="AG326" s="364"/>
      <c r="AH326" s="365"/>
      <c r="AI326" s="366"/>
      <c r="AJ326" s="367"/>
      <c r="AK326" s="42"/>
      <c r="AL326" s="42"/>
      <c r="AM326" s="42"/>
      <c r="AN326" s="42"/>
      <c r="AO326" s="42"/>
      <c r="AP326" s="42"/>
      <c r="AQ326" s="364"/>
      <c r="AR326" s="364"/>
      <c r="AS326" s="698"/>
    </row>
    <row r="327" spans="2:45">
      <c r="B327" s="513"/>
      <c r="C327" s="1368" t="s">
        <v>12</v>
      </c>
      <c r="D327" s="2320">
        <v>0.7</v>
      </c>
      <c r="E327" s="2349">
        <v>63</v>
      </c>
      <c r="F327" s="2350">
        <v>64.400000000000006</v>
      </c>
      <c r="G327" s="2327">
        <v>268.10000000000002</v>
      </c>
      <c r="H327" s="2328">
        <v>1904</v>
      </c>
      <c r="I327" s="2344">
        <f>H327-H326</f>
        <v>-2.6590000000001055</v>
      </c>
      <c r="J327" s="2314" t="s">
        <v>938</v>
      </c>
      <c r="K327" s="3"/>
      <c r="AA327" s="714"/>
      <c r="AB327" s="434"/>
      <c r="AC327" s="434"/>
      <c r="AD327" s="435"/>
      <c r="AE327" s="435"/>
      <c r="AG327" s="49"/>
      <c r="AH327" s="49"/>
      <c r="AI327" s="49"/>
      <c r="AJ327" s="368"/>
      <c r="AK327" s="49"/>
      <c r="AL327" s="49"/>
      <c r="AM327" s="49"/>
      <c r="AN327" s="49"/>
      <c r="AO327" s="49"/>
      <c r="AP327" s="49"/>
      <c r="AQ327" s="49"/>
      <c r="AR327" s="49"/>
      <c r="AS327" s="49"/>
    </row>
    <row r="328" spans="2:45" ht="15.75" thickBot="1">
      <c r="B328" s="237"/>
      <c r="C328" s="1347" t="s">
        <v>957</v>
      </c>
      <c r="D328" s="2323"/>
      <c r="E328" s="2421">
        <f>(E326*100/E316)-70</f>
        <v>-0.24888888888887095</v>
      </c>
      <c r="F328" s="586">
        <f t="shared" ref="F328:G328" si="23">(F326*100/F316)-70</f>
        <v>0.10543478260869676</v>
      </c>
      <c r="G328" s="586">
        <f t="shared" si="23"/>
        <v>0.88668407310704822</v>
      </c>
      <c r="H328" s="2487">
        <f>(H326*100/H316)-70</f>
        <v>9.7757352941187037E-2</v>
      </c>
      <c r="I328" s="2324"/>
      <c r="J328" s="2325"/>
      <c r="K328" s="3"/>
      <c r="P328" s="32"/>
      <c r="AA328" s="432"/>
      <c r="AB328" s="432"/>
      <c r="AC328" s="437"/>
      <c r="AD328" s="437"/>
      <c r="AE328" s="438"/>
      <c r="AG328" s="44"/>
      <c r="AH328" s="44"/>
      <c r="AI328" s="44"/>
      <c r="AJ328" s="111"/>
      <c r="AK328" s="383"/>
      <c r="AL328" s="383"/>
      <c r="AM328" s="383"/>
      <c r="AN328" s="383"/>
      <c r="AO328" s="44"/>
      <c r="AP328" s="223"/>
      <c r="AQ328" s="44"/>
      <c r="AR328" s="44"/>
      <c r="AS328" s="153"/>
    </row>
    <row r="329" spans="2:45">
      <c r="K329" s="3"/>
      <c r="P329" s="32"/>
      <c r="AA329" s="1"/>
      <c r="AB329" s="1"/>
      <c r="AC329" s="1"/>
      <c r="AD329" s="1"/>
      <c r="AG329" s="705"/>
      <c r="AH329" s="705"/>
      <c r="AI329" s="705"/>
      <c r="AJ329" s="713"/>
      <c r="AK329" s="705"/>
      <c r="AL329" s="705"/>
      <c r="AM329" s="705"/>
      <c r="AN329" s="705"/>
      <c r="AO329" s="706"/>
      <c r="AP329" s="706"/>
      <c r="AQ329" s="705"/>
      <c r="AR329" s="705"/>
      <c r="AS329" s="705"/>
    </row>
    <row r="330" spans="2:45" ht="14.25" customHeight="1">
      <c r="D330" s="5"/>
      <c r="K330" s="3"/>
      <c r="P330" s="32"/>
      <c r="AA330" s="1"/>
      <c r="AB330" s="1"/>
      <c r="AC330" s="1"/>
      <c r="AD330" s="1"/>
    </row>
    <row r="331" spans="2:45" ht="13.5" customHeight="1">
      <c r="D331" s="5" t="s">
        <v>286</v>
      </c>
      <c r="K331" s="3"/>
      <c r="P331" s="44"/>
      <c r="AA331" s="14"/>
      <c r="AB331" s="13"/>
      <c r="AC331" s="13"/>
      <c r="AD331" s="13"/>
    </row>
    <row r="332" spans="2:45" ht="15.75" customHeight="1">
      <c r="B332" s="19" t="s">
        <v>956</v>
      </c>
      <c r="D332"/>
      <c r="E332"/>
      <c r="I332"/>
      <c r="J332"/>
      <c r="K332" s="3"/>
      <c r="P332" s="45"/>
      <c r="AA332" s="22"/>
      <c r="AB332" s="22"/>
      <c r="AC332" s="22"/>
      <c r="AD332" s="22"/>
      <c r="AE332" s="22"/>
    </row>
    <row r="333" spans="2:45" ht="17.25" customHeight="1">
      <c r="C333" s="19" t="s">
        <v>282</v>
      </c>
      <c r="E333"/>
      <c r="F333"/>
      <c r="G333" s="19"/>
      <c r="H333" s="19"/>
      <c r="I333" s="13"/>
      <c r="J333" s="13"/>
      <c r="K333" s="3"/>
      <c r="P333" s="33"/>
      <c r="AA333" s="724"/>
      <c r="AB333" s="724"/>
      <c r="AC333" s="724"/>
      <c r="AD333" s="724"/>
      <c r="AE333" s="723"/>
    </row>
    <row r="334" spans="2:45" ht="15.75" customHeight="1">
      <c r="B334" s="20" t="s">
        <v>510</v>
      </c>
      <c r="C334" s="13"/>
      <c r="D334"/>
      <c r="E334" s="20" t="s">
        <v>0</v>
      </c>
      <c r="F334"/>
      <c r="G334" s="2" t="s">
        <v>317</v>
      </c>
      <c r="H334" s="13"/>
      <c r="I334" s="13"/>
      <c r="J334" s="24"/>
      <c r="K334" s="3"/>
      <c r="P334"/>
      <c r="AA334" s="725"/>
      <c r="AB334" s="725"/>
      <c r="AC334" s="725"/>
      <c r="AD334" s="725"/>
      <c r="AE334" s="725"/>
    </row>
    <row r="335" spans="2:45" ht="21">
      <c r="D335" s="23" t="s">
        <v>1</v>
      </c>
      <c r="E335"/>
      <c r="F335"/>
      <c r="H335" s="19"/>
      <c r="I335" s="13"/>
      <c r="J335" s="13"/>
      <c r="K335" s="3"/>
      <c r="P335" s="9"/>
      <c r="AA335" s="432"/>
      <c r="AB335" s="432"/>
      <c r="AC335" s="432"/>
      <c r="AD335" s="438"/>
      <c r="AE335" s="726"/>
    </row>
    <row r="336" spans="2:45" ht="12" customHeight="1" thickBot="1">
      <c r="K336" s="3"/>
      <c r="P336"/>
      <c r="AA336" s="722"/>
      <c r="AB336" s="722"/>
      <c r="AC336" s="722"/>
      <c r="AD336" s="722"/>
    </row>
    <row r="337" spans="2:31" ht="15.75" thickBot="1">
      <c r="B337" s="524" t="s">
        <v>250</v>
      </c>
      <c r="C337" s="99"/>
      <c r="D337" s="525" t="s">
        <v>251</v>
      </c>
      <c r="E337" s="397" t="s">
        <v>252</v>
      </c>
      <c r="F337" s="397"/>
      <c r="G337" s="397"/>
      <c r="H337" s="526" t="s">
        <v>253</v>
      </c>
      <c r="I337" s="527" t="s">
        <v>254</v>
      </c>
      <c r="J337" s="528" t="s">
        <v>255</v>
      </c>
      <c r="K337" s="3"/>
      <c r="P337"/>
      <c r="AA337" s="724"/>
      <c r="AB337" s="723"/>
      <c r="AC337" s="723"/>
      <c r="AD337" s="727"/>
      <c r="AE337" s="728"/>
    </row>
    <row r="338" spans="2:31">
      <c r="B338" s="529" t="s">
        <v>256</v>
      </c>
      <c r="C338" s="530" t="s">
        <v>257</v>
      </c>
      <c r="D338" s="531" t="s">
        <v>258</v>
      </c>
      <c r="E338" s="532" t="s">
        <v>259</v>
      </c>
      <c r="F338" s="532" t="s">
        <v>63</v>
      </c>
      <c r="G338" s="532" t="s">
        <v>64</v>
      </c>
      <c r="H338" s="533" t="s">
        <v>260</v>
      </c>
      <c r="I338" s="534" t="s">
        <v>261</v>
      </c>
      <c r="J338" s="535" t="s">
        <v>262</v>
      </c>
      <c r="K338" s="3"/>
      <c r="P338"/>
      <c r="AA338" s="1"/>
      <c r="AB338" s="1"/>
      <c r="AC338" s="1"/>
      <c r="AD338" s="1"/>
    </row>
    <row r="339" spans="2:31" ht="14.25" customHeight="1" thickBot="1">
      <c r="B339" s="536"/>
      <c r="C339" s="579"/>
      <c r="D339" s="537"/>
      <c r="E339" s="538" t="s">
        <v>6</v>
      </c>
      <c r="F339" s="538" t="s">
        <v>7</v>
      </c>
      <c r="G339" s="538" t="s">
        <v>8</v>
      </c>
      <c r="H339" s="539" t="s">
        <v>263</v>
      </c>
      <c r="I339" s="540" t="s">
        <v>264</v>
      </c>
      <c r="J339" s="541" t="s">
        <v>265</v>
      </c>
      <c r="K339" s="3"/>
      <c r="P339"/>
      <c r="AA339" s="695"/>
      <c r="AB339" s="695"/>
      <c r="AC339" s="693"/>
      <c r="AD339" s="693"/>
      <c r="AE339" s="694"/>
    </row>
    <row r="340" spans="2:31" ht="18" customHeight="1">
      <c r="B340" s="99"/>
      <c r="C340" s="163" t="s">
        <v>199</v>
      </c>
      <c r="D340" s="543"/>
      <c r="E340" s="544"/>
      <c r="F340" s="545"/>
      <c r="G340" s="545"/>
      <c r="H340" s="546"/>
      <c r="I340" s="547"/>
      <c r="J340" s="548"/>
      <c r="K340" s="3"/>
      <c r="L340" s="94"/>
      <c r="M340" s="16"/>
      <c r="N340" s="17"/>
      <c r="P340"/>
      <c r="AA340" s="1"/>
      <c r="AB340" s="1"/>
      <c r="AC340" s="1"/>
      <c r="AD340" s="1"/>
    </row>
    <row r="341" spans="2:31" ht="12" customHeight="1">
      <c r="B341" s="550" t="s">
        <v>266</v>
      </c>
      <c r="C341" s="424" t="s">
        <v>766</v>
      </c>
      <c r="D341" s="561">
        <v>200</v>
      </c>
      <c r="E341" s="2392">
        <v>13.956</v>
      </c>
      <c r="F341" s="380">
        <v>17.940999999999999</v>
      </c>
      <c r="G341" s="380">
        <v>44.578000000000003</v>
      </c>
      <c r="H341" s="1384">
        <v>395.60500000000002</v>
      </c>
      <c r="I341" s="219">
        <v>28</v>
      </c>
      <c r="J341" s="549" t="s">
        <v>195</v>
      </c>
      <c r="K341" s="3"/>
      <c r="L341"/>
      <c r="M341" s="169"/>
      <c r="N341"/>
      <c r="P341"/>
      <c r="AA341" s="1"/>
      <c r="AB341" s="1"/>
      <c r="AC341" s="1"/>
      <c r="AD341" s="1"/>
    </row>
    <row r="342" spans="2:31">
      <c r="B342" s="89"/>
      <c r="C342" s="241" t="s">
        <v>767</v>
      </c>
      <c r="D342" s="561">
        <v>15</v>
      </c>
      <c r="E342" s="2459">
        <v>3.5</v>
      </c>
      <c r="F342" s="380">
        <v>4.4000000000000004</v>
      </c>
      <c r="G342" s="380">
        <v>0</v>
      </c>
      <c r="H342" s="1384">
        <v>53.8</v>
      </c>
      <c r="I342" s="557">
        <v>10</v>
      </c>
      <c r="J342" s="644" t="s">
        <v>627</v>
      </c>
      <c r="K342" s="3"/>
      <c r="L342" s="385"/>
      <c r="M342" s="4"/>
      <c r="N342" s="9"/>
      <c r="P342"/>
      <c r="AA342" s="1"/>
      <c r="AB342" s="1"/>
      <c r="AC342" s="1"/>
      <c r="AD342" s="1"/>
    </row>
    <row r="343" spans="2:31" ht="13.5" customHeight="1">
      <c r="B343" s="553" t="s">
        <v>267</v>
      </c>
      <c r="C343" s="556" t="s">
        <v>16</v>
      </c>
      <c r="D343" s="561">
        <v>200</v>
      </c>
      <c r="E343" s="2459">
        <v>0.2</v>
      </c>
      <c r="F343" s="380">
        <v>0</v>
      </c>
      <c r="G343" s="380">
        <v>6.5</v>
      </c>
      <c r="H343" s="1298">
        <v>26.8</v>
      </c>
      <c r="I343" s="572">
        <v>90</v>
      </c>
      <c r="J343" s="1272" t="s">
        <v>639</v>
      </c>
      <c r="K343" s="3"/>
      <c r="L343" s="733"/>
      <c r="M343" s="45"/>
      <c r="N343" s="9"/>
      <c r="P343"/>
      <c r="AA343" s="1"/>
      <c r="AB343" s="1"/>
      <c r="AC343" s="1"/>
      <c r="AD343" s="1"/>
    </row>
    <row r="344" spans="2:31" ht="16.5" customHeight="1">
      <c r="B344" s="89"/>
      <c r="C344" s="556" t="s">
        <v>11</v>
      </c>
      <c r="D344" s="561">
        <v>50</v>
      </c>
      <c r="E344" s="2392">
        <v>2.63</v>
      </c>
      <c r="F344" s="380">
        <v>0.35</v>
      </c>
      <c r="G344" s="380">
        <v>20.399999999999999</v>
      </c>
      <c r="H344" s="1384">
        <v>95.27</v>
      </c>
      <c r="I344" s="219">
        <v>11</v>
      </c>
      <c r="J344" s="558" t="s">
        <v>10</v>
      </c>
      <c r="K344" s="3"/>
      <c r="L344" s="721"/>
      <c r="M344" s="4"/>
      <c r="N344" s="66"/>
      <c r="P344"/>
      <c r="AA344" s="1"/>
      <c r="AB344" s="1"/>
      <c r="AC344" s="1"/>
      <c r="AD344" s="1"/>
    </row>
    <row r="345" spans="2:31" ht="14.25" customHeight="1">
      <c r="B345" s="555" t="s">
        <v>13</v>
      </c>
      <c r="C345" s="595" t="s">
        <v>792</v>
      </c>
      <c r="D345" s="551">
        <v>30</v>
      </c>
      <c r="E345" s="2392">
        <v>1.6950000000000001</v>
      </c>
      <c r="F345" s="380">
        <v>0.36</v>
      </c>
      <c r="G345" s="380">
        <v>12.56</v>
      </c>
      <c r="H345" s="1298">
        <v>60.26</v>
      </c>
      <c r="I345" s="562">
        <v>12</v>
      </c>
      <c r="J345" s="558" t="s">
        <v>10</v>
      </c>
      <c r="K345" s="3"/>
      <c r="L345" s="32"/>
      <c r="M345" s="4"/>
      <c r="N345" s="9"/>
      <c r="P345"/>
      <c r="AA345" s="1"/>
      <c r="AB345" s="1"/>
      <c r="AC345" s="1"/>
      <c r="AD345" s="1"/>
    </row>
    <row r="346" spans="2:31" ht="16.5" thickBot="1">
      <c r="B346" s="559" t="s">
        <v>274</v>
      </c>
      <c r="C346" s="563" t="s">
        <v>1005</v>
      </c>
      <c r="D346" s="574">
        <v>100</v>
      </c>
      <c r="E346" s="2421">
        <v>0.4</v>
      </c>
      <c r="F346" s="586">
        <v>0.4</v>
      </c>
      <c r="G346" s="586">
        <v>9.8000000000000007</v>
      </c>
      <c r="H346" s="2488">
        <v>47</v>
      </c>
      <c r="I346" s="627">
        <v>73</v>
      </c>
      <c r="J346" s="549" t="s">
        <v>1004</v>
      </c>
      <c r="K346" s="3"/>
      <c r="L346" s="32"/>
      <c r="M346" s="4"/>
      <c r="N346" s="9"/>
      <c r="P346" s="20"/>
      <c r="AA346" s="1"/>
      <c r="AB346" s="1"/>
      <c r="AC346" s="1"/>
      <c r="AD346" s="1"/>
    </row>
    <row r="347" spans="2:31" ht="15.75">
      <c r="B347" s="565" t="s">
        <v>283</v>
      </c>
      <c r="D347" s="169">
        <f>SUM(D341:D346)</f>
        <v>595</v>
      </c>
      <c r="E347" s="566">
        <f>SUM(E341:E346)</f>
        <v>22.380999999999997</v>
      </c>
      <c r="F347" s="1353">
        <f>SUM(F341:F346)</f>
        <v>23.451000000000001</v>
      </c>
      <c r="G347" s="567">
        <f>SUM(G341:G346)</f>
        <v>93.838000000000008</v>
      </c>
      <c r="H347" s="2486">
        <f>SUM(H341:H346)</f>
        <v>678.73500000000001</v>
      </c>
      <c r="I347" s="1286" t="s">
        <v>482</v>
      </c>
      <c r="J347" s="1020" t="s">
        <v>280</v>
      </c>
      <c r="K347" s="3"/>
      <c r="L347" s="30"/>
      <c r="M347" s="4"/>
      <c r="N347" s="9"/>
      <c r="P347" s="170"/>
      <c r="AA347" s="1"/>
      <c r="AB347" s="1"/>
      <c r="AC347" s="1"/>
      <c r="AD347" s="1"/>
    </row>
    <row r="348" spans="2:31" ht="14.25" customHeight="1">
      <c r="B348" s="513"/>
      <c r="C348" s="2322" t="s">
        <v>12</v>
      </c>
      <c r="D348" s="2320">
        <v>0.25</v>
      </c>
      <c r="E348" s="2326">
        <v>22.5</v>
      </c>
      <c r="F348" s="2327">
        <v>23</v>
      </c>
      <c r="G348" s="2327">
        <v>95.75</v>
      </c>
      <c r="H348" s="2328">
        <v>680</v>
      </c>
      <c r="I348" s="1030">
        <f>H348-H347</f>
        <v>1.2649999999999864</v>
      </c>
      <c r="J348" s="2314" t="s">
        <v>938</v>
      </c>
      <c r="K348" s="3"/>
      <c r="L348" s="1481"/>
      <c r="M348" s="40"/>
      <c r="N348" s="1140"/>
      <c r="P348" s="32"/>
      <c r="AA348" s="1"/>
      <c r="AB348" s="1"/>
      <c r="AC348" s="1"/>
      <c r="AD348" s="1"/>
    </row>
    <row r="349" spans="2:31" ht="15" customHeight="1" thickBot="1">
      <c r="B349" s="237"/>
      <c r="C349" s="1347" t="s">
        <v>957</v>
      </c>
      <c r="D349" s="2323"/>
      <c r="E349" s="2421">
        <f>(E347*100/E371)-25</f>
        <v>-0.13222222222222868</v>
      </c>
      <c r="F349" s="586">
        <f t="shared" ref="F349:H349" si="24">(F347*100/F371)-25</f>
        <v>0.49021739130434838</v>
      </c>
      <c r="G349" s="586">
        <f t="shared" si="24"/>
        <v>-0.4992167101827647</v>
      </c>
      <c r="H349" s="2487">
        <f t="shared" si="24"/>
        <v>-4.6507352941176805E-2</v>
      </c>
      <c r="I349" s="2324"/>
      <c r="J349" s="2325"/>
      <c r="K349" s="3"/>
      <c r="P349" s="32"/>
      <c r="AA349" s="1"/>
      <c r="AB349" s="1"/>
      <c r="AC349" s="1"/>
      <c r="AD349" s="1"/>
    </row>
    <row r="350" spans="2:31" ht="12.75" customHeight="1">
      <c r="B350" s="99"/>
      <c r="C350" s="163" t="s">
        <v>152</v>
      </c>
      <c r="D350" s="99"/>
      <c r="E350" s="2446"/>
      <c r="F350" s="2447"/>
      <c r="G350" s="2447"/>
      <c r="H350" s="2447"/>
      <c r="I350" s="571"/>
      <c r="J350" s="571"/>
      <c r="K350" s="3"/>
      <c r="L350" s="63"/>
      <c r="M350" s="169"/>
      <c r="N350"/>
      <c r="P350"/>
      <c r="R350" s="4"/>
      <c r="S350" s="9"/>
      <c r="T350" s="44"/>
      <c r="U350" s="383"/>
      <c r="V350" s="383"/>
      <c r="W350" s="789"/>
      <c r="X350" s="722"/>
      <c r="Y350" s="721"/>
      <c r="AA350" s="1"/>
      <c r="AB350" s="1"/>
      <c r="AC350" s="1"/>
      <c r="AD350" s="1"/>
    </row>
    <row r="351" spans="2:31">
      <c r="B351" s="550" t="s">
        <v>266</v>
      </c>
      <c r="C351" s="582" t="s">
        <v>658</v>
      </c>
      <c r="D351" s="561">
        <v>60</v>
      </c>
      <c r="E351" s="2392">
        <v>0.8</v>
      </c>
      <c r="F351" s="380">
        <v>0.1</v>
      </c>
      <c r="G351" s="380">
        <v>4.0999999999999996</v>
      </c>
      <c r="H351" s="1384">
        <v>20.3</v>
      </c>
      <c r="I351" s="557">
        <v>7</v>
      </c>
      <c r="J351" s="644" t="s">
        <v>770</v>
      </c>
      <c r="K351" s="3"/>
      <c r="L351" s="733"/>
      <c r="M351" s="4"/>
      <c r="N351" s="9"/>
      <c r="P351" s="55"/>
      <c r="R351" s="4"/>
      <c r="S351" s="9"/>
      <c r="T351" s="153"/>
      <c r="U351" s="153"/>
      <c r="V351" s="153"/>
      <c r="W351" s="789"/>
      <c r="X351" s="722"/>
      <c r="Y351" s="721"/>
      <c r="AA351" s="1"/>
      <c r="AB351" s="1"/>
      <c r="AC351" s="1"/>
      <c r="AD351" s="1"/>
    </row>
    <row r="352" spans="2:31">
      <c r="B352" s="89"/>
      <c r="C352" s="591" t="s">
        <v>768</v>
      </c>
      <c r="D352" s="583">
        <v>250</v>
      </c>
      <c r="E352" s="2392">
        <v>5.2880000000000003</v>
      </c>
      <c r="F352" s="380">
        <v>7.9240000000000004</v>
      </c>
      <c r="G352" s="380">
        <v>17.591999999999999</v>
      </c>
      <c r="H352" s="1384">
        <v>162.83600000000001</v>
      </c>
      <c r="I352" s="557">
        <v>24</v>
      </c>
      <c r="J352" s="549" t="s">
        <v>837</v>
      </c>
      <c r="K352" s="3"/>
      <c r="L352" s="45"/>
      <c r="M352" s="4"/>
      <c r="N352" s="9"/>
      <c r="P352" s="32"/>
      <c r="R352" s="4"/>
      <c r="S352" s="9"/>
      <c r="T352" s="44"/>
      <c r="U352" s="152"/>
      <c r="V352" s="44"/>
      <c r="W352" s="789"/>
      <c r="X352" s="3"/>
      <c r="Y352" s="733"/>
      <c r="AA352" s="1"/>
      <c r="AB352" s="1"/>
      <c r="AC352" s="1"/>
      <c r="AD352" s="1"/>
    </row>
    <row r="353" spans="2:31">
      <c r="B353" s="553" t="s">
        <v>267</v>
      </c>
      <c r="C353" s="599" t="s">
        <v>769</v>
      </c>
      <c r="D353" s="583" t="s">
        <v>608</v>
      </c>
      <c r="E353" s="2392">
        <v>10.9741</v>
      </c>
      <c r="F353" s="380">
        <v>13.125</v>
      </c>
      <c r="G353" s="380">
        <v>14.05</v>
      </c>
      <c r="H353" s="1384">
        <v>229.09</v>
      </c>
      <c r="I353" s="557">
        <v>64</v>
      </c>
      <c r="J353" s="549" t="s">
        <v>606</v>
      </c>
      <c r="K353" s="3"/>
      <c r="L353" s="45"/>
      <c r="M353" s="116"/>
      <c r="N353" s="9"/>
      <c r="P353" s="32"/>
      <c r="R353" s="4"/>
      <c r="S353" s="9"/>
      <c r="T353" s="44"/>
      <c r="U353" s="44"/>
      <c r="V353" s="222"/>
      <c r="W353" s="789"/>
      <c r="X353" s="815"/>
      <c r="Y353" s="721"/>
      <c r="AA353" s="1"/>
      <c r="AB353" s="1"/>
      <c r="AC353" s="1"/>
      <c r="AD353" s="1"/>
    </row>
    <row r="354" spans="2:31" ht="15" customHeight="1">
      <c r="B354" s="89"/>
      <c r="C354" s="1538" t="s">
        <v>610</v>
      </c>
      <c r="D354" s="551" t="s">
        <v>539</v>
      </c>
      <c r="E354" s="2414">
        <v>2.2730000000000001</v>
      </c>
      <c r="F354" s="381">
        <v>6.72</v>
      </c>
      <c r="G354" s="2415">
        <v>23.11</v>
      </c>
      <c r="H354" s="1388">
        <v>162.012</v>
      </c>
      <c r="I354" s="589">
        <v>44</v>
      </c>
      <c r="J354" s="780" t="s">
        <v>844</v>
      </c>
      <c r="K354" s="3"/>
      <c r="L354" s="1482"/>
      <c r="M354" s="355"/>
      <c r="N354" s="1003"/>
      <c r="P354" s="45"/>
      <c r="R354" s="218"/>
      <c r="S354" s="66"/>
      <c r="T354" s="44"/>
      <c r="U354" s="44"/>
      <c r="V354" s="44"/>
      <c r="W354" s="789"/>
      <c r="X354" s="360"/>
      <c r="Y354" s="721"/>
      <c r="AA354" s="696"/>
      <c r="AB354" s="696"/>
      <c r="AC354" s="696"/>
      <c r="AD354" s="696"/>
      <c r="AE354" s="696"/>
    </row>
    <row r="355" spans="2:31" ht="15" customHeight="1">
      <c r="B355" s="89"/>
      <c r="C355" s="1539" t="s">
        <v>611</v>
      </c>
      <c r="D355" s="590"/>
      <c r="E355" s="1534">
        <v>1.28</v>
      </c>
      <c r="F355" s="2444">
        <v>3.59</v>
      </c>
      <c r="G355" s="147">
        <v>13.09</v>
      </c>
      <c r="H355" s="1466">
        <v>89.79</v>
      </c>
      <c r="I355" s="593"/>
      <c r="J355" s="781"/>
      <c r="K355" s="3"/>
      <c r="L355" s="63"/>
      <c r="M355" s="355"/>
      <c r="N355"/>
      <c r="P355" s="32"/>
      <c r="R355" s="4"/>
      <c r="S355" s="9"/>
      <c r="T355" s="44"/>
      <c r="U355" s="44"/>
      <c r="V355" s="44"/>
      <c r="W355" s="789"/>
      <c r="X355" s="3"/>
      <c r="Y355" s="721"/>
      <c r="AA355" s="1"/>
      <c r="AB355" s="1"/>
      <c r="AC355" s="1"/>
      <c r="AD355" s="1"/>
    </row>
    <row r="356" spans="2:31" ht="15.75">
      <c r="B356" s="555" t="s">
        <v>13</v>
      </c>
      <c r="C356" s="560" t="s">
        <v>151</v>
      </c>
      <c r="D356" s="561">
        <v>200</v>
      </c>
      <c r="E356" s="2392">
        <v>1</v>
      </c>
      <c r="F356" s="380">
        <v>0</v>
      </c>
      <c r="G356" s="380">
        <v>16.920000000000002</v>
      </c>
      <c r="H356" s="1384">
        <v>71.680000000000007</v>
      </c>
      <c r="I356" s="581">
        <v>76</v>
      </c>
      <c r="J356" s="558" t="s">
        <v>9</v>
      </c>
      <c r="K356" s="3"/>
      <c r="L356" s="32"/>
      <c r="M356" s="4"/>
      <c r="N356" s="9"/>
      <c r="P356" s="32"/>
      <c r="R356" s="4"/>
      <c r="S356" s="66"/>
      <c r="T356" s="44"/>
      <c r="U356" s="44"/>
      <c r="V356" s="44"/>
      <c r="W356" s="789"/>
      <c r="X356" s="360"/>
      <c r="Y356" s="791"/>
      <c r="AA356" s="1"/>
      <c r="AB356" s="1"/>
      <c r="AC356" s="1"/>
      <c r="AD356" s="1"/>
    </row>
    <row r="357" spans="2:31" ht="15" customHeight="1">
      <c r="B357" s="559" t="s">
        <v>274</v>
      </c>
      <c r="C357" s="304" t="s">
        <v>11</v>
      </c>
      <c r="D357" s="561">
        <v>70</v>
      </c>
      <c r="E357" s="2392">
        <v>3.6880000000000002</v>
      </c>
      <c r="F357" s="380">
        <v>0.49</v>
      </c>
      <c r="G357" s="380">
        <v>26.56</v>
      </c>
      <c r="H357" s="1384">
        <v>125.402</v>
      </c>
      <c r="I357" s="562">
        <v>11</v>
      </c>
      <c r="J357" s="558" t="s">
        <v>10</v>
      </c>
      <c r="K357" s="3"/>
      <c r="L357" s="32"/>
      <c r="M357" s="4"/>
      <c r="N357" s="9"/>
      <c r="P357" s="32"/>
      <c r="R357" s="4"/>
      <c r="S357" s="9"/>
      <c r="T357" s="44"/>
      <c r="U357" s="44"/>
      <c r="V357" s="44"/>
      <c r="W357" s="111"/>
      <c r="X357" s="44"/>
      <c r="Y357" s="44"/>
      <c r="AA357" s="1"/>
      <c r="AB357" s="1"/>
      <c r="AC357" s="1"/>
      <c r="AD357" s="1"/>
    </row>
    <row r="358" spans="2:31" ht="15" customHeight="1" thickBot="1">
      <c r="B358" s="89"/>
      <c r="C358" s="585" t="s">
        <v>792</v>
      </c>
      <c r="D358" s="574">
        <v>44</v>
      </c>
      <c r="E358" s="2392">
        <v>2.4860000000000002</v>
      </c>
      <c r="F358" s="380">
        <v>0.52800000000000002</v>
      </c>
      <c r="G358" s="380">
        <v>18.414000000000001</v>
      </c>
      <c r="H358" s="1388">
        <v>88.352000000000004</v>
      </c>
      <c r="I358" s="748">
        <v>12</v>
      </c>
      <c r="J358" s="558" t="s">
        <v>10</v>
      </c>
      <c r="K358" s="3"/>
      <c r="L358" s="32"/>
      <c r="M358" s="4"/>
      <c r="N358" s="9"/>
      <c r="P358"/>
      <c r="R358" s="4"/>
      <c r="S358" s="150"/>
      <c r="T358" s="153"/>
      <c r="U358" s="153"/>
      <c r="V358" s="153"/>
      <c r="W358" s="789"/>
      <c r="X358" s="3"/>
      <c r="Y358" s="721"/>
    </row>
    <row r="359" spans="2:31" ht="17.25" customHeight="1">
      <c r="B359" s="565" t="s">
        <v>269</v>
      </c>
      <c r="C359" s="34"/>
      <c r="D359" s="577">
        <f>D351+D352+D356+D357+D358+55+55+110+70</f>
        <v>914</v>
      </c>
      <c r="E359" s="575">
        <f>SUM(E351:E358)</f>
        <v>27.789100000000001</v>
      </c>
      <c r="F359" s="1353">
        <f>SUM(F351:F358)</f>
        <v>32.476999999999997</v>
      </c>
      <c r="G359" s="576">
        <f>SUM(G351:G358)</f>
        <v>133.83600000000001</v>
      </c>
      <c r="H359" s="2500">
        <f>SUM(H351:H358)</f>
        <v>949.4620000000001</v>
      </c>
      <c r="I359" s="1273" t="s">
        <v>482</v>
      </c>
      <c r="J359" s="1020" t="s">
        <v>280</v>
      </c>
      <c r="K359" s="3"/>
      <c r="L359" s="1481"/>
      <c r="M359" s="40"/>
      <c r="N359" s="1140"/>
      <c r="P359"/>
    </row>
    <row r="360" spans="2:31" ht="14.25" customHeight="1">
      <c r="B360" s="1343"/>
      <c r="C360" s="2329" t="s">
        <v>12</v>
      </c>
      <c r="D360" s="2330">
        <v>0.35</v>
      </c>
      <c r="E360" s="2326">
        <v>31.5</v>
      </c>
      <c r="F360" s="2327">
        <v>32.200000000000003</v>
      </c>
      <c r="G360" s="2327">
        <v>134.05000000000001</v>
      </c>
      <c r="H360" s="2328">
        <v>952</v>
      </c>
      <c r="I360" s="2344">
        <f>H360-H359</f>
        <v>2.5379999999998972</v>
      </c>
      <c r="J360" s="2314" t="s">
        <v>938</v>
      </c>
      <c r="K360" s="3"/>
      <c r="P360" s="32"/>
      <c r="AA360" s="1"/>
      <c r="AB360" s="1"/>
      <c r="AC360" s="1"/>
      <c r="AD360" s="1"/>
    </row>
    <row r="361" spans="2:31" ht="15.75" customHeight="1" thickBot="1">
      <c r="B361" s="237"/>
      <c r="C361" s="1347" t="s">
        <v>957</v>
      </c>
      <c r="D361" s="2323"/>
      <c r="E361" s="2421">
        <f>(E359*100/E371)-35</f>
        <v>-4.1232222222222177</v>
      </c>
      <c r="F361" s="586">
        <f t="shared" ref="F361:H361" si="25">(F359*100/F371)-35</f>
        <v>0.30108695652173623</v>
      </c>
      <c r="G361" s="586">
        <f t="shared" si="25"/>
        <v>-5.587467362924059E-2</v>
      </c>
      <c r="H361" s="2487">
        <f t="shared" si="25"/>
        <v>-9.3308823529405061E-2</v>
      </c>
      <c r="I361" s="2324"/>
      <c r="J361" s="2325"/>
      <c r="K361" s="3"/>
      <c r="L361" s="63"/>
      <c r="M361" s="169"/>
      <c r="N361" s="3"/>
      <c r="P361" s="30"/>
      <c r="AA361" s="1"/>
      <c r="AB361" s="1"/>
      <c r="AC361" s="1"/>
      <c r="AD361" s="1"/>
    </row>
    <row r="362" spans="2:31">
      <c r="B362" s="550" t="s">
        <v>266</v>
      </c>
      <c r="C362" s="1090" t="s">
        <v>324</v>
      </c>
      <c r="D362" s="99"/>
      <c r="E362" s="2446"/>
      <c r="F362" s="2447"/>
      <c r="G362" s="2447"/>
      <c r="H362" s="2497"/>
      <c r="I362" s="590"/>
      <c r="J362" s="571"/>
      <c r="K362" s="3"/>
      <c r="L362" s="32"/>
      <c r="M362" s="4"/>
      <c r="N362" s="66"/>
      <c r="P362" s="32"/>
    </row>
    <row r="363" spans="2:31" ht="12.75" customHeight="1">
      <c r="B363" s="553" t="s">
        <v>267</v>
      </c>
      <c r="C363" s="249" t="s">
        <v>680</v>
      </c>
      <c r="D363" s="561">
        <v>200</v>
      </c>
      <c r="E363" s="2459">
        <v>0.14799999999999999</v>
      </c>
      <c r="F363" s="380">
        <v>0.14799999999999999</v>
      </c>
      <c r="G363" s="380">
        <v>8.8176000000000005</v>
      </c>
      <c r="H363" s="1298">
        <v>37.192999999999998</v>
      </c>
      <c r="I363" s="572">
        <v>81</v>
      </c>
      <c r="J363" s="549" t="s">
        <v>682</v>
      </c>
      <c r="K363" s="3"/>
      <c r="L363" s="32"/>
      <c r="M363" s="4"/>
      <c r="N363" s="44"/>
      <c r="P363" s="32"/>
      <c r="AA363" s="729"/>
      <c r="AB363" s="63"/>
      <c r="AC363" s="63"/>
      <c r="AD363" s="63"/>
    </row>
    <row r="364" spans="2:31" ht="15.75">
      <c r="B364" s="555" t="s">
        <v>13</v>
      </c>
      <c r="C364" s="249" t="s">
        <v>678</v>
      </c>
      <c r="D364" s="551" t="s">
        <v>847</v>
      </c>
      <c r="E364" s="2414">
        <v>6.5890000000000004</v>
      </c>
      <c r="F364" s="381">
        <v>6.6520000000000001</v>
      </c>
      <c r="G364" s="2415">
        <v>9.1704000000000008</v>
      </c>
      <c r="H364" s="1384">
        <v>140.255</v>
      </c>
      <c r="I364" s="589">
        <v>62</v>
      </c>
      <c r="J364" s="549" t="s">
        <v>806</v>
      </c>
      <c r="K364" s="3"/>
      <c r="L364"/>
      <c r="M364" s="4"/>
      <c r="N364"/>
      <c r="P364" s="32"/>
      <c r="AA364" s="48"/>
      <c r="AB364" s="48"/>
      <c r="AC364" s="48"/>
      <c r="AD364" s="48"/>
    </row>
    <row r="365" spans="2:31" ht="15.75" thickBot="1">
      <c r="B365" s="559" t="s">
        <v>274</v>
      </c>
      <c r="C365" s="573" t="s">
        <v>11</v>
      </c>
      <c r="D365" s="574">
        <v>50</v>
      </c>
      <c r="E365" s="2392">
        <v>2.63</v>
      </c>
      <c r="F365" s="380">
        <v>0.35</v>
      </c>
      <c r="G365" s="380">
        <v>20.399999999999999</v>
      </c>
      <c r="H365" s="1384">
        <v>95.27</v>
      </c>
      <c r="I365" s="562">
        <v>11</v>
      </c>
      <c r="J365" s="558" t="s">
        <v>10</v>
      </c>
      <c r="K365" s="3"/>
      <c r="L365" s="32"/>
      <c r="M365" s="4"/>
      <c r="N365" s="9"/>
      <c r="P365" s="32"/>
      <c r="AA365" s="48"/>
      <c r="AB365" s="48"/>
      <c r="AC365" s="48"/>
      <c r="AD365" s="48"/>
    </row>
    <row r="366" spans="2:31" ht="14.25" customHeight="1">
      <c r="B366" s="565" t="s">
        <v>357</v>
      </c>
      <c r="C366" s="433"/>
      <c r="D366" s="577">
        <f>D363+D365+70+30</f>
        <v>350</v>
      </c>
      <c r="E366" s="575">
        <f>SUM(E363:E365)</f>
        <v>9.3670000000000009</v>
      </c>
      <c r="F366" s="1353">
        <f>SUM(F363:F365)</f>
        <v>7.1499999999999995</v>
      </c>
      <c r="G366" s="576">
        <f>SUM(G363:G365)</f>
        <v>38.387999999999998</v>
      </c>
      <c r="H366" s="2486">
        <f>SUM(H363:H365)</f>
        <v>272.71799999999996</v>
      </c>
      <c r="I366" s="1273" t="s">
        <v>482</v>
      </c>
      <c r="J366" s="1020" t="s">
        <v>280</v>
      </c>
      <c r="K366" s="3"/>
      <c r="L366" s="1481"/>
      <c r="M366" s="40"/>
      <c r="N366" s="1140"/>
      <c r="P366" s="33"/>
      <c r="AA366" s="48"/>
      <c r="AB366" s="48"/>
      <c r="AC366" s="150"/>
      <c r="AD366" s="48"/>
    </row>
    <row r="367" spans="2:31" ht="14.25" customHeight="1">
      <c r="B367" s="513"/>
      <c r="C367" s="2322" t="s">
        <v>12</v>
      </c>
      <c r="D367" s="2320">
        <v>0.1</v>
      </c>
      <c r="E367" s="2326">
        <v>9</v>
      </c>
      <c r="F367" s="2327">
        <v>9.1999999999999993</v>
      </c>
      <c r="G367" s="2327">
        <v>38.299999999999997</v>
      </c>
      <c r="H367" s="2328">
        <v>272</v>
      </c>
      <c r="I367" s="2344">
        <f>H367-H366</f>
        <v>-0.71799999999996089</v>
      </c>
      <c r="J367" s="2314" t="s">
        <v>938</v>
      </c>
      <c r="K367" s="3"/>
      <c r="P367"/>
      <c r="AA367" s="48"/>
      <c r="AB367" s="48"/>
      <c r="AC367" s="48"/>
      <c r="AD367" s="48"/>
    </row>
    <row r="368" spans="2:31" ht="16.5" customHeight="1" thickBot="1">
      <c r="B368" s="237"/>
      <c r="C368" s="1347" t="s">
        <v>957</v>
      </c>
      <c r="D368" s="2323"/>
      <c r="E368" s="2421">
        <f>(E366*100/E371)-10</f>
        <v>0.40777777777777757</v>
      </c>
      <c r="F368" s="586">
        <f t="shared" ref="F368:G368" si="26">(F366*100/F371)-10</f>
        <v>-2.2282608695652177</v>
      </c>
      <c r="G368" s="586">
        <f t="shared" si="26"/>
        <v>2.2976501305482344E-2</v>
      </c>
      <c r="H368" s="2487">
        <f>(H366*100/H371)-10</f>
        <v>2.6397058823528496E-2</v>
      </c>
      <c r="I368" s="2324"/>
      <c r="J368" s="2325"/>
      <c r="K368" s="3"/>
      <c r="P368" s="45"/>
      <c r="AA368" s="48"/>
      <c r="AB368" s="48"/>
      <c r="AC368" s="48"/>
      <c r="AD368" s="48"/>
    </row>
    <row r="369" spans="2:31" ht="18" customHeight="1" thickBot="1">
      <c r="E369" s="194"/>
      <c r="F369" s="194"/>
      <c r="G369" s="194"/>
      <c r="H369" s="194"/>
      <c r="K369" s="3"/>
      <c r="L369"/>
      <c r="M369" s="40"/>
      <c r="N369"/>
      <c r="P369"/>
      <c r="AA369" s="48"/>
      <c r="AB369" s="48"/>
      <c r="AC369" s="48"/>
      <c r="AD369" s="48"/>
    </row>
    <row r="370" spans="2:31" ht="12.75" customHeight="1">
      <c r="B370" s="2331"/>
      <c r="C370" s="2332"/>
      <c r="D370" s="2333"/>
      <c r="E370" s="2489" t="s">
        <v>6</v>
      </c>
      <c r="F370" s="2490" t="s">
        <v>7</v>
      </c>
      <c r="G370" s="2490" t="s">
        <v>8</v>
      </c>
      <c r="H370" s="2491" t="s">
        <v>958</v>
      </c>
      <c r="I370" s="2334"/>
      <c r="J370" s="2333"/>
      <c r="K370" s="3"/>
      <c r="L370"/>
      <c r="M370" s="40"/>
      <c r="N370"/>
      <c r="P370" s="170"/>
      <c r="AA370" s="48"/>
      <c r="AB370" s="48"/>
      <c r="AC370" s="48"/>
      <c r="AD370" s="48"/>
    </row>
    <row r="371" spans="2:31" ht="15" customHeight="1" thickBot="1">
      <c r="B371" s="2335"/>
      <c r="C371" s="2336" t="s">
        <v>959</v>
      </c>
      <c r="D371" s="2337">
        <v>1</v>
      </c>
      <c r="E371" s="2492">
        <v>90</v>
      </c>
      <c r="F371" s="2493">
        <v>92</v>
      </c>
      <c r="G371" s="2494">
        <v>383</v>
      </c>
      <c r="H371" s="2495">
        <v>2720</v>
      </c>
      <c r="I371" s="2338" t="s">
        <v>960</v>
      </c>
      <c r="J371" s="2339"/>
      <c r="K371" s="3"/>
      <c r="L371"/>
      <c r="M371" s="40"/>
      <c r="N371"/>
      <c r="P371" s="32"/>
      <c r="AA371" s="1"/>
      <c r="AB371" s="1"/>
      <c r="AC371" s="1"/>
      <c r="AD371" s="1"/>
    </row>
    <row r="372" spans="2:31" ht="17.25" customHeight="1" thickBot="1">
      <c r="E372" s="194"/>
      <c r="F372" s="194"/>
      <c r="G372" s="194"/>
      <c r="H372" s="194"/>
      <c r="K372" s="3"/>
      <c r="L372"/>
      <c r="M372" s="40"/>
      <c r="N372"/>
      <c r="P372" s="32"/>
      <c r="AA372" s="1"/>
      <c r="AB372" s="1"/>
      <c r="AC372" s="1"/>
      <c r="AD372" s="1"/>
    </row>
    <row r="373" spans="2:31" ht="12.75" customHeight="1">
      <c r="B373" s="1021"/>
      <c r="C373" s="34" t="s">
        <v>481</v>
      </c>
      <c r="D373" s="35"/>
      <c r="E373" s="145">
        <f>E347+E359</f>
        <v>50.170099999999998</v>
      </c>
      <c r="F373" s="243">
        <f>F347+F359</f>
        <v>55.927999999999997</v>
      </c>
      <c r="G373" s="243">
        <f>G347+G359</f>
        <v>227.67400000000004</v>
      </c>
      <c r="H373" s="1024">
        <f>H347+H359</f>
        <v>1628.1970000000001</v>
      </c>
      <c r="I373" s="1023" t="s">
        <v>482</v>
      </c>
      <c r="J373" s="1020" t="s">
        <v>280</v>
      </c>
      <c r="K373" s="3"/>
      <c r="L373"/>
      <c r="M373" s="40"/>
      <c r="N373"/>
      <c r="P373"/>
      <c r="AA373" s="1"/>
      <c r="AB373" s="1"/>
      <c r="AC373" s="1"/>
      <c r="AD373" s="1"/>
    </row>
    <row r="374" spans="2:31">
      <c r="B374" s="513"/>
      <c r="C374" s="2322" t="s">
        <v>12</v>
      </c>
      <c r="D374" s="2320">
        <v>0.6</v>
      </c>
      <c r="E374" s="2340">
        <v>54</v>
      </c>
      <c r="F374" s="2341">
        <v>55.2</v>
      </c>
      <c r="G374" s="2341">
        <v>229.8</v>
      </c>
      <c r="H374" s="2342">
        <v>1632</v>
      </c>
      <c r="I374" s="2343">
        <f>H374-H373</f>
        <v>3.8029999999998836</v>
      </c>
      <c r="J374" s="2314" t="s">
        <v>938</v>
      </c>
      <c r="K374" s="3"/>
      <c r="L374"/>
      <c r="M374" s="40"/>
      <c r="N374"/>
      <c r="P374" s="32"/>
      <c r="AA374" s="1"/>
      <c r="AB374" s="1"/>
      <c r="AC374" s="1"/>
      <c r="AD374" s="1"/>
    </row>
    <row r="375" spans="2:31" ht="17.25" customHeight="1" thickBot="1">
      <c r="B375" s="237"/>
      <c r="C375" s="1347" t="s">
        <v>957</v>
      </c>
      <c r="D375" s="2323"/>
      <c r="E375" s="2421">
        <f>(E373*100/E371)-60</f>
        <v>-4.2554444444444428</v>
      </c>
      <c r="F375" s="586">
        <f t="shared" ref="F375:G375" si="27">(F373*100/F371)-60</f>
        <v>0.7913043478260775</v>
      </c>
      <c r="G375" s="586">
        <f t="shared" si="27"/>
        <v>-0.55509138381199818</v>
      </c>
      <c r="H375" s="2487">
        <f>(H373*100/H371)-60</f>
        <v>-0.13981617647058187</v>
      </c>
      <c r="I375" s="2324"/>
      <c r="J375" s="2325"/>
      <c r="K375" s="3"/>
      <c r="L375"/>
      <c r="M375" s="40"/>
      <c r="N375"/>
      <c r="P375" s="32"/>
      <c r="AA375" s="44"/>
      <c r="AB375" s="44"/>
      <c r="AC375" s="44"/>
      <c r="AD375" s="44"/>
      <c r="AE375" s="153"/>
    </row>
    <row r="376" spans="2:31" ht="12" customHeight="1" thickBot="1">
      <c r="E376" s="194"/>
      <c r="F376" s="194"/>
      <c r="G376" s="194"/>
      <c r="H376" s="194"/>
      <c r="K376" s="3"/>
      <c r="L376"/>
      <c r="M376" s="40"/>
      <c r="N376"/>
      <c r="P376" s="385"/>
      <c r="AA376" s="44"/>
      <c r="AB376" s="44"/>
      <c r="AC376" s="44"/>
      <c r="AD376" s="44"/>
      <c r="AE376" s="153"/>
    </row>
    <row r="377" spans="2:31" ht="13.5" customHeight="1">
      <c r="B377" s="1021"/>
      <c r="C377" s="34" t="s">
        <v>480</v>
      </c>
      <c r="D377" s="35"/>
      <c r="E377" s="145">
        <f>E359+E366</f>
        <v>37.156100000000002</v>
      </c>
      <c r="F377" s="243">
        <f>F359+F366</f>
        <v>39.626999999999995</v>
      </c>
      <c r="G377" s="243">
        <f>G359+G366</f>
        <v>172.22400000000002</v>
      </c>
      <c r="H377" s="1024">
        <f>H359+H366</f>
        <v>1222.18</v>
      </c>
      <c r="I377" s="1273" t="s">
        <v>482</v>
      </c>
      <c r="J377" s="1020" t="s">
        <v>280</v>
      </c>
      <c r="K377" s="3"/>
      <c r="P377" s="32"/>
      <c r="AA377" s="44"/>
      <c r="AB377" s="44"/>
      <c r="AC377" s="223"/>
      <c r="AD377" s="44"/>
      <c r="AE377" s="153"/>
    </row>
    <row r="378" spans="2:31" ht="15" customHeight="1">
      <c r="B378" s="513"/>
      <c r="C378" s="2322" t="s">
        <v>12</v>
      </c>
      <c r="D378" s="2320">
        <v>0.45</v>
      </c>
      <c r="E378" s="2326">
        <v>40.5</v>
      </c>
      <c r="F378" s="2327">
        <v>41.4</v>
      </c>
      <c r="G378" s="2327">
        <v>172.35</v>
      </c>
      <c r="H378" s="2328">
        <v>1224</v>
      </c>
      <c r="I378" s="2344">
        <f>H378-H377</f>
        <v>1.8199999999999363</v>
      </c>
      <c r="J378" s="2314" t="s">
        <v>938</v>
      </c>
      <c r="K378" s="3"/>
      <c r="L378"/>
      <c r="M378" s="40"/>
      <c r="N378"/>
      <c r="P378" s="32"/>
      <c r="AA378" s="44"/>
      <c r="AB378" s="44"/>
      <c r="AC378" s="223"/>
      <c r="AD378" s="44"/>
      <c r="AE378" s="153"/>
    </row>
    <row r="379" spans="2:31" ht="13.5" customHeight="1" thickBot="1">
      <c r="B379" s="237"/>
      <c r="C379" s="1347" t="s">
        <v>957</v>
      </c>
      <c r="D379" s="2323"/>
      <c r="E379" s="2421">
        <f>(E377*100/E371)-45</f>
        <v>-3.7154444444444437</v>
      </c>
      <c r="F379" s="586">
        <f t="shared" ref="F379:G379" si="28">(F377*100/F371)-45</f>
        <v>-1.9271739130434824</v>
      </c>
      <c r="G379" s="586">
        <f t="shared" si="28"/>
        <v>-3.2898172323754693E-2</v>
      </c>
      <c r="H379" s="2487">
        <f>(H377*100/H371)-45</f>
        <v>-6.6911764705885446E-2</v>
      </c>
      <c r="I379" s="2324"/>
      <c r="J379" s="2325"/>
      <c r="K379" s="3"/>
      <c r="L379"/>
      <c r="M379" s="40"/>
      <c r="N379"/>
      <c r="P379"/>
      <c r="AA379" s="431"/>
      <c r="AB379" s="434"/>
      <c r="AC379" s="431"/>
      <c r="AD379" s="431"/>
      <c r="AE379" s="431"/>
    </row>
    <row r="380" spans="2:31" ht="15.75" thickBot="1">
      <c r="E380" s="194"/>
      <c r="F380" s="194"/>
      <c r="G380" s="194"/>
      <c r="H380" s="194"/>
      <c r="K380" s="3"/>
      <c r="L380"/>
      <c r="M380" s="40"/>
      <c r="N380"/>
      <c r="P380"/>
      <c r="AA380" s="432"/>
      <c r="AB380" s="437"/>
      <c r="AC380" s="437"/>
      <c r="AD380" s="438"/>
      <c r="AE380" s="439"/>
    </row>
    <row r="381" spans="2:31" ht="13.5" customHeight="1">
      <c r="B381" s="1021"/>
      <c r="C381" s="34" t="s">
        <v>358</v>
      </c>
      <c r="D381" s="35"/>
      <c r="E381" s="145">
        <f>E347+E359+E366</f>
        <v>59.537099999999995</v>
      </c>
      <c r="F381" s="243">
        <f>F347+F359+F366</f>
        <v>63.077999999999996</v>
      </c>
      <c r="G381" s="243">
        <f>G347+G359+G366</f>
        <v>266.06200000000001</v>
      </c>
      <c r="H381" s="1024">
        <f>H347+H359+H366</f>
        <v>1900.915</v>
      </c>
      <c r="I381" s="1273" t="s">
        <v>482</v>
      </c>
      <c r="J381" s="1020" t="s">
        <v>280</v>
      </c>
      <c r="K381" s="3"/>
      <c r="L381"/>
      <c r="M381" s="40"/>
      <c r="N381"/>
      <c r="P381" s="32"/>
      <c r="AA381" s="1"/>
      <c r="AB381" s="1"/>
      <c r="AC381" s="1"/>
      <c r="AD381" s="1"/>
    </row>
    <row r="382" spans="2:31">
      <c r="B382" s="513"/>
      <c r="C382" s="2322" t="s">
        <v>12</v>
      </c>
      <c r="D382" s="2320">
        <v>0.7</v>
      </c>
      <c r="E382" s="2326">
        <v>63</v>
      </c>
      <c r="F382" s="2327">
        <v>64.400000000000006</v>
      </c>
      <c r="G382" s="2327">
        <v>268.10000000000002</v>
      </c>
      <c r="H382" s="2328">
        <v>1904</v>
      </c>
      <c r="I382" s="2344">
        <f>H382-H381</f>
        <v>3.0850000000000364</v>
      </c>
      <c r="J382" s="2314" t="s">
        <v>938</v>
      </c>
      <c r="K382" s="3"/>
      <c r="L382"/>
      <c r="M382" s="40"/>
      <c r="N382"/>
      <c r="P382" s="32"/>
      <c r="AA382" s="1"/>
      <c r="AB382" s="1"/>
      <c r="AC382" s="1"/>
      <c r="AD382" s="1"/>
    </row>
    <row r="383" spans="2:31" ht="15.75" thickBot="1">
      <c r="B383" s="237"/>
      <c r="C383" s="1347" t="s">
        <v>957</v>
      </c>
      <c r="D383" s="2323"/>
      <c r="E383" s="2421">
        <f>(E381*100/E371)-70</f>
        <v>-3.847666666666683</v>
      </c>
      <c r="F383" s="586">
        <f t="shared" ref="F383:G383" si="29">(F381*100/F371)-70</f>
        <v>-1.436956521739134</v>
      </c>
      <c r="G383" s="586">
        <f t="shared" si="29"/>
        <v>-0.53211488250651939</v>
      </c>
      <c r="H383" s="2487">
        <f>(H381*100/H371)-70</f>
        <v>-0.11341911764705515</v>
      </c>
      <c r="I383" s="2324"/>
      <c r="J383" s="2325"/>
      <c r="K383" s="3"/>
      <c r="L383"/>
      <c r="M383" s="171"/>
      <c r="N383"/>
      <c r="P383" s="32"/>
      <c r="AA383" s="1"/>
      <c r="AB383" s="1"/>
      <c r="AC383" s="1"/>
      <c r="AD383" s="1"/>
    </row>
    <row r="384" spans="2:31" ht="14.25" customHeight="1">
      <c r="K384" s="3"/>
      <c r="L384"/>
      <c r="M384" s="40"/>
      <c r="N384"/>
      <c r="P384" s="32"/>
      <c r="S384" s="171"/>
      <c r="T384" s="154"/>
      <c r="U384" s="8"/>
      <c r="V384" s="702"/>
      <c r="W384" s="792"/>
      <c r="X384" s="793"/>
      <c r="Y384" s="793"/>
      <c r="Z384" s="1"/>
      <c r="AA384" s="1"/>
      <c r="AB384" s="1"/>
      <c r="AC384" s="1"/>
      <c r="AD384" s="1"/>
    </row>
    <row r="385" spans="2:26" ht="14.25" customHeight="1">
      <c r="K385" s="3"/>
      <c r="L385"/>
      <c r="M385" s="40"/>
      <c r="N385"/>
      <c r="P385" s="45"/>
      <c r="S385" s="1"/>
      <c r="T385" s="1"/>
      <c r="U385" s="1"/>
      <c r="V385" s="1"/>
      <c r="W385" s="1"/>
      <c r="X385" s="1"/>
      <c r="Y385" s="1"/>
      <c r="Z385" s="1"/>
    </row>
    <row r="386" spans="2:26" ht="12" customHeight="1">
      <c r="K386" s="3"/>
      <c r="L386"/>
      <c r="M386" s="171"/>
      <c r="N386"/>
      <c r="P386" s="45"/>
      <c r="Q386" s="782"/>
      <c r="S386" s="783"/>
      <c r="T386" s="19"/>
      <c r="U386" s="19"/>
      <c r="V386" s="19"/>
      <c r="W386" s="783"/>
      <c r="X386" s="783"/>
      <c r="Y386" s="784"/>
      <c r="Z386" s="1"/>
    </row>
    <row r="387" spans="2:26" ht="12.75" customHeight="1">
      <c r="D387" s="5" t="s">
        <v>286</v>
      </c>
      <c r="K387" s="3"/>
      <c r="L387"/>
      <c r="M387"/>
      <c r="N387" s="94"/>
      <c r="P387" s="33"/>
      <c r="Q387" s="175"/>
      <c r="R387" s="18"/>
      <c r="S387" s="175"/>
      <c r="T387" s="785"/>
      <c r="U387" s="785"/>
      <c r="V387" s="785"/>
      <c r="W387" s="175"/>
      <c r="X387" s="786"/>
      <c r="Y387" s="349"/>
      <c r="Z387" s="1"/>
    </row>
    <row r="388" spans="2:26">
      <c r="B388" s="19" t="s">
        <v>956</v>
      </c>
      <c r="D388"/>
      <c r="E388"/>
      <c r="I388"/>
      <c r="J388"/>
      <c r="K388" s="3"/>
      <c r="L388"/>
      <c r="M388" s="40"/>
      <c r="N388"/>
      <c r="P388"/>
      <c r="Q388" s="785"/>
      <c r="R388" s="94"/>
      <c r="S388" s="18"/>
      <c r="T388" s="787"/>
      <c r="U388" s="787"/>
      <c r="V388" s="787"/>
      <c r="W388" s="18"/>
      <c r="X388" s="349"/>
      <c r="Y388" s="349"/>
      <c r="Z388" s="1"/>
    </row>
    <row r="389" spans="2:26" ht="15.75">
      <c r="C389" s="19" t="s">
        <v>282</v>
      </c>
      <c r="E389"/>
      <c r="F389"/>
      <c r="G389" s="19"/>
      <c r="H389" s="19"/>
      <c r="I389" s="658" t="s">
        <v>1</v>
      </c>
      <c r="J389" s="13"/>
      <c r="K389" s="3"/>
      <c r="L389"/>
      <c r="N389"/>
      <c r="P389" s="9"/>
      <c r="R389" s="169"/>
      <c r="S389" s="9"/>
      <c r="T389" s="44"/>
      <c r="U389" s="44"/>
      <c r="V389" s="44"/>
      <c r="W389" s="111"/>
      <c r="X389" s="722"/>
      <c r="Y389" s="788"/>
      <c r="Z389" s="1"/>
    </row>
    <row r="390" spans="2:26" ht="16.5" thickBot="1">
      <c r="B390" s="20" t="s">
        <v>510</v>
      </c>
      <c r="C390" s="13"/>
      <c r="D390"/>
      <c r="E390" s="20" t="s">
        <v>0</v>
      </c>
      <c r="F390"/>
      <c r="G390" s="2" t="s">
        <v>317</v>
      </c>
      <c r="H390" s="13"/>
      <c r="I390" s="13"/>
      <c r="J390" s="24"/>
      <c r="K390" s="3"/>
      <c r="L390"/>
      <c r="N390"/>
      <c r="P390"/>
      <c r="Q390" s="169"/>
      <c r="R390" s="4"/>
      <c r="S390" s="66"/>
      <c r="T390" s="44"/>
      <c r="U390" s="44"/>
      <c r="V390" s="44"/>
      <c r="W390" s="111"/>
      <c r="X390" s="3"/>
      <c r="Y390" s="721"/>
      <c r="Z390" s="1"/>
    </row>
    <row r="391" spans="2:26" ht="16.5" customHeight="1" thickBot="1">
      <c r="B391" s="601" t="s">
        <v>511</v>
      </c>
      <c r="C391" s="58"/>
      <c r="D391" s="602"/>
      <c r="E391" s="397" t="s">
        <v>252</v>
      </c>
      <c r="F391" s="397"/>
      <c r="G391" s="397"/>
      <c r="H391" s="527" t="s">
        <v>253</v>
      </c>
      <c r="I391" s="603" t="s">
        <v>278</v>
      </c>
      <c r="J391" s="604"/>
      <c r="K391" s="3"/>
      <c r="L391"/>
      <c r="N391"/>
      <c r="P391"/>
      <c r="Q391" s="768"/>
      <c r="R391" s="4"/>
      <c r="S391" s="9"/>
      <c r="T391" s="9"/>
      <c r="U391" s="44"/>
      <c r="V391" s="44"/>
      <c r="W391" s="111"/>
      <c r="X391" s="722"/>
      <c r="Y391" s="721"/>
      <c r="Z391" s="1"/>
    </row>
    <row r="392" spans="2:26" ht="15.75" customHeight="1">
      <c r="B392" s="61"/>
      <c r="C392" s="749" t="s">
        <v>763</v>
      </c>
      <c r="D392" s="605"/>
      <c r="E392" s="606" t="s">
        <v>259</v>
      </c>
      <c r="F392" s="532" t="s">
        <v>63</v>
      </c>
      <c r="G392" s="532" t="s">
        <v>64</v>
      </c>
      <c r="H392" s="529" t="s">
        <v>260</v>
      </c>
      <c r="I392" s="607" t="s">
        <v>45</v>
      </c>
      <c r="J392" s="608" t="s">
        <v>279</v>
      </c>
      <c r="L392"/>
      <c r="N392"/>
      <c r="O392" s="19"/>
      <c r="P392" s="19"/>
      <c r="Q392" s="19"/>
      <c r="R392" s="783"/>
      <c r="S392" s="14"/>
      <c r="T392" s="1"/>
      <c r="U392" s="44"/>
      <c r="V392" s="44"/>
      <c r="W392" s="805"/>
      <c r="X392" s="722"/>
      <c r="Y392" s="721"/>
      <c r="Z392" s="1"/>
    </row>
    <row r="393" spans="2:26" ht="13.5" customHeight="1" thickBot="1">
      <c r="B393" s="57"/>
      <c r="C393" s="803" t="s">
        <v>319</v>
      </c>
      <c r="D393" s="578"/>
      <c r="E393" s="609" t="s">
        <v>6</v>
      </c>
      <c r="F393" s="538" t="s">
        <v>7</v>
      </c>
      <c r="G393" s="538" t="s">
        <v>8</v>
      </c>
      <c r="H393" s="610" t="s">
        <v>263</v>
      </c>
      <c r="I393" s="568"/>
      <c r="J393" s="611" t="s">
        <v>280</v>
      </c>
      <c r="K393" s="3"/>
      <c r="L393"/>
      <c r="N393"/>
      <c r="O393" s="785"/>
      <c r="P393" s="785"/>
      <c r="Q393" s="785"/>
      <c r="R393" s="175"/>
      <c r="S393" s="22"/>
      <c r="T393" s="22"/>
      <c r="U393" s="44"/>
      <c r="V393" s="44"/>
      <c r="W393" s="111"/>
      <c r="X393" s="722"/>
      <c r="Y393" s="721"/>
      <c r="Z393" s="1"/>
    </row>
    <row r="394" spans="2:26" ht="12.75" customHeight="1">
      <c r="B394" s="88"/>
      <c r="C394" s="2362" t="s">
        <v>959</v>
      </c>
      <c r="D394" s="2363">
        <v>1</v>
      </c>
      <c r="E394" s="2354">
        <v>90</v>
      </c>
      <c r="F394" s="59">
        <v>92</v>
      </c>
      <c r="G394" s="60">
        <v>383</v>
      </c>
      <c r="H394" s="612">
        <v>2720</v>
      </c>
      <c r="I394" s="613" t="s">
        <v>259</v>
      </c>
      <c r="J394" s="2581">
        <f>(E398*100/E394)-25</f>
        <v>0</v>
      </c>
      <c r="K394" s="3"/>
      <c r="L394"/>
      <c r="M394" s="40"/>
      <c r="N394"/>
      <c r="O394" s="787"/>
      <c r="P394" s="787"/>
      <c r="Q394" s="787"/>
      <c r="R394" s="18"/>
      <c r="S394" s="1"/>
      <c r="T394" s="22"/>
      <c r="U394" s="44"/>
      <c r="V394" s="44"/>
      <c r="W394" s="111"/>
      <c r="X394" s="722"/>
      <c r="Y394" s="721"/>
      <c r="Z394" s="1"/>
    </row>
    <row r="395" spans="2:26">
      <c r="B395" s="168"/>
      <c r="C395" s="2358" t="s">
        <v>145</v>
      </c>
      <c r="D395" s="2364"/>
      <c r="E395" s="2355"/>
      <c r="F395" s="443"/>
      <c r="G395" s="443"/>
      <c r="H395" s="770"/>
      <c r="I395" s="615" t="s">
        <v>63</v>
      </c>
      <c r="J395" s="2582">
        <f>(F398*100/F394)-25</f>
        <v>5.4347826086598161E-5</v>
      </c>
      <c r="K395" s="3"/>
      <c r="L395" s="2"/>
      <c r="M395" s="40"/>
      <c r="N395"/>
      <c r="O395" s="2190"/>
      <c r="P395" s="723"/>
      <c r="Q395" s="724"/>
      <c r="R395" s="724"/>
      <c r="S395" s="785"/>
      <c r="T395" s="176"/>
      <c r="U395" s="795"/>
      <c r="V395" s="806"/>
      <c r="W395" s="796"/>
      <c r="X395" s="203"/>
      <c r="Y395" s="154"/>
      <c r="Z395" s="1"/>
    </row>
    <row r="396" spans="2:26" ht="15.75">
      <c r="B396" s="2356" t="s">
        <v>512</v>
      </c>
      <c r="C396" s="2357" t="s">
        <v>475</v>
      </c>
      <c r="D396" s="2365">
        <v>0.25</v>
      </c>
      <c r="E396" s="2359">
        <v>22.5</v>
      </c>
      <c r="F396" s="773">
        <v>23</v>
      </c>
      <c r="G396" s="773">
        <v>95.75</v>
      </c>
      <c r="H396" s="771">
        <v>680</v>
      </c>
      <c r="I396" s="615" t="s">
        <v>64</v>
      </c>
      <c r="J396" s="2583">
        <f>(G398*100/G394)-25</f>
        <v>0</v>
      </c>
      <c r="K396" s="3"/>
      <c r="L396"/>
      <c r="M396" s="40"/>
      <c r="N396"/>
      <c r="O396" s="725"/>
      <c r="P396" s="725"/>
      <c r="Q396" s="725"/>
      <c r="R396" s="725"/>
      <c r="S396" s="785"/>
      <c r="T396" s="176"/>
      <c r="U396" s="1"/>
      <c r="V396" s="1"/>
      <c r="W396" s="1"/>
      <c r="X396" s="210"/>
      <c r="Y396" s="169"/>
      <c r="Z396" s="1"/>
    </row>
    <row r="397" spans="2:26">
      <c r="B397" s="61"/>
      <c r="C397" s="617"/>
      <c r="D397" s="2366"/>
      <c r="E397" s="2360"/>
      <c r="F397" s="631"/>
      <c r="G397" s="631"/>
      <c r="H397" s="632"/>
      <c r="I397" s="619" t="s">
        <v>281</v>
      </c>
      <c r="J397" s="2584"/>
      <c r="K397" s="3"/>
      <c r="P397" s="2203"/>
      <c r="Q397" s="2203"/>
      <c r="R397" s="2203"/>
      <c r="S397" s="785"/>
      <c r="T397" s="176"/>
      <c r="U397" s="1"/>
      <c r="V397" s="1"/>
      <c r="W397" s="1"/>
      <c r="X397" s="1"/>
      <c r="Y397" s="1"/>
      <c r="Z397" s="1"/>
    </row>
    <row r="398" spans="2:26" ht="12" customHeight="1" thickBot="1">
      <c r="B398" s="620"/>
      <c r="C398" s="621" t="s">
        <v>757</v>
      </c>
      <c r="D398" s="2367"/>
      <c r="E398" s="2361">
        <f>(E74+E128+E184+E238+E291+E347)/6</f>
        <v>22.5</v>
      </c>
      <c r="F398" s="221">
        <f>(F74+F128+F184+F238+F291+F347)/6</f>
        <v>23.000050000000002</v>
      </c>
      <c r="G398" s="221">
        <f>(G74+G128+G184+G238+G291+G347)/6</f>
        <v>95.75</v>
      </c>
      <c r="H398" s="633">
        <f>(H74+H128+H184+H238+H291+H347)/6</f>
        <v>680.00003333333336</v>
      </c>
      <c r="I398" s="623" t="s">
        <v>263</v>
      </c>
      <c r="J398" s="2585">
        <f>(H398*100/H394)-25</f>
        <v>1.225490198208945E-6</v>
      </c>
      <c r="K398" s="3"/>
      <c r="P398" s="722"/>
      <c r="Q398" s="722"/>
      <c r="R398" s="722"/>
      <c r="S398" s="203"/>
      <c r="T398" s="176"/>
      <c r="U398" s="44"/>
      <c r="V398" s="44"/>
      <c r="W398" s="111"/>
      <c r="X398" s="360"/>
      <c r="Y398" s="788"/>
      <c r="Z398" s="1"/>
    </row>
    <row r="399" spans="2:26" ht="14.25" customHeight="1" thickBot="1">
      <c r="K399" s="3"/>
      <c r="P399" s="727"/>
      <c r="Q399" s="727"/>
      <c r="R399" s="727"/>
      <c r="S399" s="203"/>
      <c r="T399" s="740"/>
      <c r="U399" s="44"/>
      <c r="V399" s="222"/>
      <c r="W399" s="111"/>
      <c r="X399" s="6"/>
      <c r="Y399" s="733"/>
      <c r="Z399" s="1"/>
    </row>
    <row r="400" spans="2:26" ht="12.75" customHeight="1" thickBot="1">
      <c r="B400" s="601" t="s">
        <v>511</v>
      </c>
      <c r="C400" s="58"/>
      <c r="D400" s="602"/>
      <c r="E400" s="397" t="s">
        <v>252</v>
      </c>
      <c r="F400" s="397"/>
      <c r="G400" s="397"/>
      <c r="H400" s="527" t="s">
        <v>253</v>
      </c>
      <c r="I400" s="603" t="s">
        <v>278</v>
      </c>
      <c r="J400" s="604"/>
      <c r="K400" s="3"/>
      <c r="Q400" s="1"/>
      <c r="R400" s="1"/>
      <c r="S400" s="1"/>
      <c r="T400" s="1"/>
      <c r="U400" s="153"/>
      <c r="V400" s="153"/>
      <c r="W400" s="111"/>
      <c r="X400" s="107"/>
      <c r="Y400" s="721"/>
      <c r="Z400" s="1"/>
    </row>
    <row r="401" spans="2:26" ht="13.5" customHeight="1">
      <c r="B401" s="61"/>
      <c r="C401" s="749" t="s">
        <v>762</v>
      </c>
      <c r="D401" s="605"/>
      <c r="E401" s="606" t="s">
        <v>259</v>
      </c>
      <c r="F401" s="532" t="s">
        <v>63</v>
      </c>
      <c r="G401" s="532" t="s">
        <v>64</v>
      </c>
      <c r="H401" s="529" t="s">
        <v>260</v>
      </c>
      <c r="I401" s="607" t="s">
        <v>45</v>
      </c>
      <c r="J401" s="608" t="s">
        <v>279</v>
      </c>
      <c r="K401" s="3"/>
      <c r="P401" s="19"/>
      <c r="Q401" s="19"/>
      <c r="R401" s="783"/>
      <c r="S401" s="14"/>
      <c r="T401" s="1"/>
      <c r="U401" s="44"/>
      <c r="V401" s="44"/>
      <c r="W401" s="111"/>
      <c r="X401" s="722"/>
      <c r="Y401" s="721"/>
      <c r="Z401" s="1"/>
    </row>
    <row r="402" spans="2:26" ht="13.5" customHeight="1" thickBot="1">
      <c r="B402" s="57"/>
      <c r="C402" s="803" t="s">
        <v>319</v>
      </c>
      <c r="D402" s="578"/>
      <c r="E402" s="609" t="s">
        <v>6</v>
      </c>
      <c r="F402" s="538" t="s">
        <v>7</v>
      </c>
      <c r="G402" s="538" t="s">
        <v>8</v>
      </c>
      <c r="H402" s="610" t="s">
        <v>263</v>
      </c>
      <c r="I402" s="568"/>
      <c r="J402" s="611" t="s">
        <v>280</v>
      </c>
      <c r="K402" s="3"/>
      <c r="P402" s="785"/>
      <c r="Q402" s="785"/>
      <c r="R402" s="175"/>
      <c r="S402" s="22"/>
      <c r="T402" s="22"/>
      <c r="U402" s="44"/>
      <c r="V402" s="44"/>
      <c r="W402" s="111"/>
      <c r="X402" s="722"/>
      <c r="Y402" s="721"/>
      <c r="Z402" s="1"/>
    </row>
    <row r="403" spans="2:26" ht="12.75" customHeight="1">
      <c r="B403" s="61"/>
      <c r="C403" s="2362" t="s">
        <v>959</v>
      </c>
      <c r="D403" s="746">
        <v>1</v>
      </c>
      <c r="E403" s="442">
        <v>90</v>
      </c>
      <c r="F403" s="59">
        <v>92</v>
      </c>
      <c r="G403" s="60">
        <v>383</v>
      </c>
      <c r="H403" s="612">
        <v>2720</v>
      </c>
      <c r="I403" s="613" t="s">
        <v>259</v>
      </c>
      <c r="J403" s="2581">
        <f>(E407*100/E403)-35</f>
        <v>0</v>
      </c>
      <c r="K403" s="3"/>
      <c r="P403" s="787"/>
      <c r="Q403" s="787"/>
      <c r="R403" s="18"/>
      <c r="S403" s="1"/>
      <c r="T403" s="22"/>
      <c r="U403" s="44"/>
      <c r="V403" s="44"/>
      <c r="W403" s="111"/>
      <c r="X403" s="722"/>
      <c r="Y403" s="721"/>
      <c r="Z403" s="1"/>
    </row>
    <row r="404" spans="2:26">
      <c r="B404" s="168"/>
      <c r="C404" s="150" t="s">
        <v>145</v>
      </c>
      <c r="D404" s="614"/>
      <c r="E404" s="769"/>
      <c r="F404" s="443"/>
      <c r="G404" s="443"/>
      <c r="H404" s="770"/>
      <c r="I404" s="615" t="s">
        <v>63</v>
      </c>
      <c r="J404" s="2582">
        <f>(F407*100/F403)-35</f>
        <v>0</v>
      </c>
      <c r="K404" s="3"/>
      <c r="P404" s="723"/>
      <c r="Q404" s="724"/>
      <c r="R404" s="724"/>
      <c r="S404" s="785"/>
      <c r="T404" s="740"/>
      <c r="U404" s="152"/>
      <c r="V404" s="44"/>
      <c r="W404" s="111"/>
      <c r="X404" s="360"/>
      <c r="Y404" s="733"/>
      <c r="Z404" s="1"/>
    </row>
    <row r="405" spans="2:26" ht="15.75">
      <c r="B405" s="751" t="s">
        <v>512</v>
      </c>
      <c r="C405" s="616" t="s">
        <v>476</v>
      </c>
      <c r="D405" s="391">
        <v>0.35</v>
      </c>
      <c r="E405" s="772">
        <v>31.5</v>
      </c>
      <c r="F405" s="773">
        <v>32.200000000000003</v>
      </c>
      <c r="G405" s="773">
        <v>134.05000000000001</v>
      </c>
      <c r="H405" s="771">
        <v>952</v>
      </c>
      <c r="I405" s="615" t="s">
        <v>64</v>
      </c>
      <c r="J405" s="2583">
        <f>(G407*100/G403)-35</f>
        <v>0</v>
      </c>
      <c r="K405" s="3"/>
      <c r="M405" s="2389"/>
      <c r="P405" s="725"/>
      <c r="Q405" s="725"/>
      <c r="R405" s="725"/>
      <c r="S405" s="785"/>
      <c r="T405" s="740"/>
      <c r="U405" s="796"/>
      <c r="V405" s="795"/>
      <c r="W405" s="796"/>
      <c r="X405" s="203"/>
      <c r="Y405" s="154"/>
      <c r="Z405" s="1"/>
    </row>
    <row r="406" spans="2:26">
      <c r="B406" s="61"/>
      <c r="C406" s="617"/>
      <c r="D406" s="618"/>
      <c r="E406" s="2501"/>
      <c r="F406" s="2502"/>
      <c r="G406" s="2502"/>
      <c r="H406" s="2503"/>
      <c r="I406" s="619" t="s">
        <v>281</v>
      </c>
      <c r="J406" s="2584"/>
      <c r="K406" s="3"/>
      <c r="P406" s="2203"/>
      <c r="Q406" s="2203"/>
      <c r="R406" s="2203"/>
      <c r="S406" s="785"/>
      <c r="T406" s="740"/>
      <c r="X406" s="210"/>
      <c r="Y406" s="169"/>
      <c r="Z406" s="1"/>
    </row>
    <row r="407" spans="2:26" ht="12" customHeight="1" thickBot="1">
      <c r="B407" s="620"/>
      <c r="C407" s="621" t="s">
        <v>757</v>
      </c>
      <c r="D407" s="622"/>
      <c r="E407" s="220">
        <f>(E85+E139+E196+E249+E304+E359)/6</f>
        <v>31.5</v>
      </c>
      <c r="F407" s="221">
        <f>(F85+F139+F196+F249+F304+F359)/6</f>
        <v>32.200000000000003</v>
      </c>
      <c r="G407" s="221">
        <f>(G85+G139+G196+G249+G304+G359)/6</f>
        <v>134.05000000000001</v>
      </c>
      <c r="H407" s="633">
        <f>(H85+H139+H196+H249+H304+H359)/6</f>
        <v>952.00000000000011</v>
      </c>
      <c r="I407" s="623" t="s">
        <v>263</v>
      </c>
      <c r="J407" s="2585">
        <f>(H407*100/H403)-35</f>
        <v>0</v>
      </c>
      <c r="K407" s="3"/>
      <c r="P407" s="722"/>
      <c r="Q407" s="722"/>
      <c r="R407" s="722"/>
      <c r="S407" s="203"/>
      <c r="T407" s="740"/>
      <c r="U407" s="438"/>
      <c r="V407" s="438"/>
      <c r="W407" s="438"/>
      <c r="X407" s="210"/>
      <c r="Y407" s="1"/>
      <c r="Z407" s="1"/>
    </row>
    <row r="408" spans="2:26" ht="15.75" thickBot="1">
      <c r="P408" s="727"/>
      <c r="Q408" s="727"/>
      <c r="R408" s="727"/>
      <c r="S408" s="203"/>
      <c r="T408" s="740"/>
      <c r="U408" s="194"/>
      <c r="V408" s="194"/>
      <c r="W408" s="1"/>
      <c r="X408" s="1"/>
      <c r="Y408" s="1"/>
      <c r="Z408" s="1"/>
    </row>
    <row r="409" spans="2:26" ht="14.25" customHeight="1" thickBot="1">
      <c r="B409" s="601" t="s">
        <v>511</v>
      </c>
      <c r="C409" s="58"/>
      <c r="D409" s="602"/>
      <c r="E409" s="397" t="s">
        <v>252</v>
      </c>
      <c r="F409" s="397"/>
      <c r="G409" s="397"/>
      <c r="H409" s="527" t="s">
        <v>253</v>
      </c>
      <c r="I409" s="603" t="s">
        <v>278</v>
      </c>
      <c r="J409" s="604"/>
      <c r="K409" s="3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4.25" customHeight="1">
      <c r="B410" s="61"/>
      <c r="C410" s="749" t="s">
        <v>761</v>
      </c>
      <c r="D410" s="605"/>
      <c r="E410" s="606" t="s">
        <v>259</v>
      </c>
      <c r="F410" s="532" t="s">
        <v>63</v>
      </c>
      <c r="G410" s="532" t="s">
        <v>64</v>
      </c>
      <c r="H410" s="529" t="s">
        <v>260</v>
      </c>
      <c r="I410" s="607" t="s">
        <v>45</v>
      </c>
      <c r="J410" s="608" t="s">
        <v>279</v>
      </c>
      <c r="K410" s="3"/>
      <c r="P410" s="19"/>
      <c r="Q410" s="19"/>
      <c r="R410" s="783"/>
      <c r="S410" s="14"/>
      <c r="T410" s="1"/>
      <c r="V410" s="1"/>
      <c r="W410" s="1"/>
      <c r="Z410" s="1"/>
    </row>
    <row r="411" spans="2:26" ht="12.75" customHeight="1" thickBot="1">
      <c r="B411" s="57"/>
      <c r="C411" s="803" t="s">
        <v>319</v>
      </c>
      <c r="D411" s="578"/>
      <c r="E411" s="609" t="s">
        <v>6</v>
      </c>
      <c r="F411" s="538" t="s">
        <v>7</v>
      </c>
      <c r="G411" s="538" t="s">
        <v>8</v>
      </c>
      <c r="H411" s="610" t="s">
        <v>263</v>
      </c>
      <c r="I411" s="568"/>
      <c r="J411" s="611" t="s">
        <v>280</v>
      </c>
      <c r="K411" s="3"/>
      <c r="P411" s="785"/>
      <c r="Q411" s="785"/>
      <c r="R411" s="175"/>
      <c r="S411" s="22"/>
      <c r="T411" s="22"/>
      <c r="V411" s="19"/>
      <c r="W411" s="19"/>
      <c r="X411" s="13"/>
      <c r="Y411" s="13"/>
      <c r="Z411" s="1"/>
    </row>
    <row r="412" spans="2:26" ht="12" customHeight="1">
      <c r="B412" s="61"/>
      <c r="C412" s="2362" t="s">
        <v>959</v>
      </c>
      <c r="D412" s="746">
        <v>1</v>
      </c>
      <c r="E412" s="442">
        <v>90</v>
      </c>
      <c r="F412" s="59">
        <v>92</v>
      </c>
      <c r="G412" s="60">
        <v>383</v>
      </c>
      <c r="H412" s="612">
        <v>2720</v>
      </c>
      <c r="I412" s="613" t="s">
        <v>259</v>
      </c>
      <c r="J412" s="2581">
        <f>(E416*100/E412)-10</f>
        <v>0</v>
      </c>
      <c r="K412" s="3"/>
      <c r="P412" s="787"/>
      <c r="Q412" s="787"/>
      <c r="R412" s="18"/>
      <c r="S412" s="1"/>
      <c r="T412" s="22"/>
      <c r="V412" s="2"/>
      <c r="W412" s="13"/>
      <c r="X412" s="13"/>
      <c r="Y412" s="24"/>
      <c r="Z412" s="1"/>
    </row>
    <row r="413" spans="2:26" ht="15.75" customHeight="1">
      <c r="B413" s="168"/>
      <c r="C413" s="150" t="s">
        <v>145</v>
      </c>
      <c r="D413" s="614"/>
      <c r="E413" s="769"/>
      <c r="F413" s="443"/>
      <c r="G413" s="443"/>
      <c r="H413" s="770"/>
      <c r="I413" s="615" t="s">
        <v>63</v>
      </c>
      <c r="J413" s="2582">
        <f>(F416*100/F412)-10</f>
        <v>0</v>
      </c>
      <c r="K413" s="22"/>
      <c r="P413" s="723"/>
      <c r="Q413" s="724"/>
      <c r="R413" s="724"/>
      <c r="S413" s="785"/>
      <c r="T413" s="176"/>
      <c r="V413" s="1"/>
      <c r="W413" s="19"/>
      <c r="X413" s="13"/>
      <c r="Y413" s="13"/>
      <c r="Z413" s="1"/>
    </row>
    <row r="414" spans="2:26" ht="15.75">
      <c r="B414" s="751" t="s">
        <v>512</v>
      </c>
      <c r="C414" s="616" t="s">
        <v>472</v>
      </c>
      <c r="D414" s="391">
        <v>0.1</v>
      </c>
      <c r="E414" s="772">
        <v>9</v>
      </c>
      <c r="F414" s="773">
        <v>9.1999999999999993</v>
      </c>
      <c r="G414" s="773">
        <v>38.299999999999997</v>
      </c>
      <c r="H414" s="771">
        <v>272</v>
      </c>
      <c r="I414" s="615" t="s">
        <v>64</v>
      </c>
      <c r="J414" s="2583">
        <f>(G416*100/G412)-10</f>
        <v>0</v>
      </c>
      <c r="K414" s="1029"/>
      <c r="P414" s="725"/>
      <c r="Q414" s="725"/>
      <c r="R414" s="725"/>
      <c r="S414" s="785"/>
      <c r="T414" s="176"/>
      <c r="U414" s="19"/>
      <c r="V414" s="19"/>
      <c r="W414" s="783"/>
      <c r="X414" s="783"/>
      <c r="Y414" s="784"/>
      <c r="Z414" s="1"/>
    </row>
    <row r="415" spans="2:26">
      <c r="B415" s="61"/>
      <c r="C415" s="617"/>
      <c r="D415" s="618"/>
      <c r="E415" s="554"/>
      <c r="F415" s="631"/>
      <c r="G415" s="631"/>
      <c r="H415" s="632"/>
      <c r="I415" s="619" t="s">
        <v>281</v>
      </c>
      <c r="J415" s="2584"/>
      <c r="K415" s="3"/>
      <c r="P415" s="2204"/>
      <c r="Q415" s="2204"/>
      <c r="R415" s="2204"/>
      <c r="S415" s="785"/>
      <c r="T415" s="176"/>
      <c r="U415" s="785"/>
      <c r="V415" s="785"/>
      <c r="W415" s="175"/>
      <c r="X415" s="786"/>
      <c r="Y415" s="349"/>
      <c r="Z415" s="1"/>
    </row>
    <row r="416" spans="2:26" ht="15.75" thickBot="1">
      <c r="B416" s="620"/>
      <c r="C416" s="621" t="s">
        <v>757</v>
      </c>
      <c r="D416" s="622"/>
      <c r="E416" s="220">
        <f>(E92+E146+E204+E256+E311+E366)/6</f>
        <v>9</v>
      </c>
      <c r="F416" s="221">
        <f>(F92+F146+F204+F256+F311+F366)/6</f>
        <v>9.1999999999999993</v>
      </c>
      <c r="G416" s="221">
        <f>(G92+G146+G204+G256+G311+G366)/6</f>
        <v>38.300000000000004</v>
      </c>
      <c r="H416" s="633">
        <f>(H92+H146+H204+H256+H311+H366)/6</f>
        <v>272</v>
      </c>
      <c r="I416" s="623" t="s">
        <v>263</v>
      </c>
      <c r="J416" s="2585">
        <f>(H416*100/H412)-10</f>
        <v>0</v>
      </c>
      <c r="K416" s="3"/>
      <c r="P416" s="722"/>
      <c r="Q416" s="722"/>
      <c r="R416" s="722"/>
      <c r="S416" s="203"/>
      <c r="T416" s="176"/>
      <c r="U416" s="44"/>
      <c r="V416" s="805"/>
      <c r="W416" s="722"/>
      <c r="X416" s="721"/>
      <c r="Y416" s="349"/>
      <c r="Z416" s="1"/>
    </row>
    <row r="417" spans="2:26" ht="15.75" thickBot="1">
      <c r="K417" s="3"/>
      <c r="P417" s="727"/>
      <c r="Q417" s="727"/>
      <c r="R417" s="727"/>
      <c r="S417" s="203"/>
      <c r="T417" s="740"/>
      <c r="U417" s="44"/>
      <c r="V417" s="789"/>
      <c r="W417" s="815"/>
      <c r="X417" s="721"/>
      <c r="Y417" s="788"/>
      <c r="Z417" s="1"/>
    </row>
    <row r="418" spans="2:26" ht="15.75" thickBot="1">
      <c r="B418" s="601" t="s">
        <v>511</v>
      </c>
      <c r="C418" s="58"/>
      <c r="D418" s="602"/>
      <c r="E418" s="397" t="s">
        <v>252</v>
      </c>
      <c r="F418" s="397"/>
      <c r="G418" s="397"/>
      <c r="H418" s="527" t="s">
        <v>253</v>
      </c>
      <c r="I418" s="603" t="s">
        <v>278</v>
      </c>
      <c r="J418" s="604"/>
      <c r="K418" s="3"/>
      <c r="Q418" s="1"/>
      <c r="R418" s="1"/>
      <c r="S418" s="1"/>
      <c r="T418" s="1"/>
      <c r="U418" s="44"/>
      <c r="V418" s="789"/>
      <c r="W418" s="722"/>
      <c r="X418" s="733"/>
      <c r="Y418" s="721"/>
      <c r="Z418" s="1"/>
    </row>
    <row r="419" spans="2:26" ht="14.25" customHeight="1">
      <c r="B419" s="61"/>
      <c r="C419" s="749" t="s">
        <v>760</v>
      </c>
      <c r="D419" s="605"/>
      <c r="E419" s="606" t="s">
        <v>259</v>
      </c>
      <c r="F419" s="532" t="s">
        <v>63</v>
      </c>
      <c r="G419" s="532" t="s">
        <v>64</v>
      </c>
      <c r="H419" s="529" t="s">
        <v>260</v>
      </c>
      <c r="I419" s="607" t="s">
        <v>45</v>
      </c>
      <c r="J419" s="608" t="s">
        <v>279</v>
      </c>
      <c r="K419" s="3"/>
      <c r="P419" s="19"/>
      <c r="Q419" s="19"/>
      <c r="R419" s="783"/>
      <c r="S419" s="14"/>
      <c r="T419" s="1"/>
      <c r="U419" s="44"/>
      <c r="V419" s="789"/>
      <c r="W419" s="815"/>
      <c r="X419" s="721"/>
      <c r="Y419" s="721"/>
      <c r="Z419" s="1"/>
    </row>
    <row r="420" spans="2:26" ht="12.75" customHeight="1" thickBot="1">
      <c r="B420" s="57"/>
      <c r="C420" s="803" t="s">
        <v>319</v>
      </c>
      <c r="D420" s="578"/>
      <c r="E420" s="609" t="s">
        <v>6</v>
      </c>
      <c r="F420" s="538" t="s">
        <v>7</v>
      </c>
      <c r="G420" s="538" t="s">
        <v>8</v>
      </c>
      <c r="H420" s="610" t="s">
        <v>263</v>
      </c>
      <c r="I420" s="568"/>
      <c r="J420" s="611" t="s">
        <v>280</v>
      </c>
      <c r="P420" s="785"/>
      <c r="Q420" s="785"/>
      <c r="R420" s="175"/>
      <c r="S420" s="22"/>
      <c r="T420" s="22"/>
      <c r="U420" s="383"/>
      <c r="V420" s="789"/>
      <c r="W420" s="815"/>
      <c r="X420" s="721"/>
      <c r="Y420" s="791"/>
      <c r="Z420" s="1"/>
    </row>
    <row r="421" spans="2:26" ht="15" customHeight="1">
      <c r="B421" s="61"/>
      <c r="C421" s="2362" t="s">
        <v>959</v>
      </c>
      <c r="D421" s="746">
        <v>1</v>
      </c>
      <c r="E421" s="442">
        <v>90</v>
      </c>
      <c r="F421" s="59">
        <v>92</v>
      </c>
      <c r="G421" s="60">
        <v>383</v>
      </c>
      <c r="H421" s="612">
        <v>2720</v>
      </c>
      <c r="I421" s="613" t="s">
        <v>259</v>
      </c>
      <c r="J421" s="2581">
        <f>(E425*100/E421)-60</f>
        <v>0</v>
      </c>
      <c r="K421" s="3"/>
      <c r="P421" s="787"/>
      <c r="Q421" s="787"/>
      <c r="R421" s="18"/>
      <c r="S421" s="1"/>
      <c r="T421" s="22"/>
      <c r="U421" s="44"/>
      <c r="V421" s="789"/>
      <c r="W421" s="815"/>
      <c r="X421" s="721"/>
      <c r="Y421" s="721"/>
      <c r="Z421" s="1"/>
    </row>
    <row r="422" spans="2:26">
      <c r="B422" s="168"/>
      <c r="C422" s="150" t="s">
        <v>145</v>
      </c>
      <c r="D422" s="614"/>
      <c r="E422" s="769"/>
      <c r="F422" s="443"/>
      <c r="G422" s="443"/>
      <c r="H422" s="770"/>
      <c r="I422" s="615" t="s">
        <v>63</v>
      </c>
      <c r="J422" s="2582">
        <f>(F425*100/F421)-60</f>
        <v>5.4347826086598161E-5</v>
      </c>
      <c r="K422" s="3"/>
      <c r="P422" s="723"/>
      <c r="Q422" s="724"/>
      <c r="R422" s="724"/>
      <c r="S422" s="785"/>
      <c r="T422" s="176"/>
      <c r="U422" s="153"/>
      <c r="V422" s="789"/>
      <c r="W422" s="815"/>
      <c r="X422" s="721"/>
      <c r="Y422" s="733"/>
      <c r="Z422" s="1"/>
    </row>
    <row r="423" spans="2:26" ht="15.75">
      <c r="B423" s="751" t="s">
        <v>512</v>
      </c>
      <c r="C423" s="616" t="s">
        <v>285</v>
      </c>
      <c r="D423" s="391">
        <v>0.6</v>
      </c>
      <c r="E423" s="772">
        <v>54</v>
      </c>
      <c r="F423" s="773">
        <v>55.2</v>
      </c>
      <c r="G423" s="773">
        <v>229.8</v>
      </c>
      <c r="H423" s="771">
        <v>1632</v>
      </c>
      <c r="I423" s="615" t="s">
        <v>64</v>
      </c>
      <c r="J423" s="2583">
        <f>(G425*100/G421)-60</f>
        <v>0</v>
      </c>
      <c r="K423" s="3"/>
      <c r="P423" s="725"/>
      <c r="Q423" s="725"/>
      <c r="R423" s="725"/>
      <c r="S423" s="785"/>
      <c r="T423" s="176"/>
      <c r="Y423" s="154"/>
      <c r="Z423" s="1"/>
    </row>
    <row r="424" spans="2:26">
      <c r="B424" s="61"/>
      <c r="C424" s="617"/>
      <c r="D424" s="618"/>
      <c r="E424" s="554"/>
      <c r="F424" s="631"/>
      <c r="G424" s="631"/>
      <c r="H424" s="632"/>
      <c r="I424" s="619" t="s">
        <v>281</v>
      </c>
      <c r="J424" s="2584"/>
      <c r="K424" s="22"/>
      <c r="P424" s="2204"/>
      <c r="Q424" s="2204"/>
      <c r="R424" s="2204"/>
      <c r="S424" s="785"/>
      <c r="T424" s="176"/>
      <c r="Y424" s="169"/>
      <c r="Z424" s="1"/>
    </row>
    <row r="425" spans="2:26" ht="11.25" customHeight="1" thickBot="1">
      <c r="B425" s="620"/>
      <c r="C425" s="621" t="s">
        <v>757</v>
      </c>
      <c r="D425" s="622"/>
      <c r="E425" s="220">
        <f>(E100+E153+E211+E263+E318+E373)/6</f>
        <v>54</v>
      </c>
      <c r="F425" s="221">
        <f>(F100+F153+F211+F263+F318+F373)/6</f>
        <v>55.200049999999997</v>
      </c>
      <c r="G425" s="221">
        <f>(G100+G153+G211+G263+G318+G373)/6</f>
        <v>229.79999999999998</v>
      </c>
      <c r="H425" s="633">
        <f>(H100+H153+H211+H263+H318+H373)/6</f>
        <v>1632.0000333333335</v>
      </c>
      <c r="I425" s="623" t="s">
        <v>263</v>
      </c>
      <c r="J425" s="2585">
        <f>(H425*100/H421)-60</f>
        <v>1.2254902017616587E-6</v>
      </c>
      <c r="K425" s="1029"/>
      <c r="P425" s="722"/>
      <c r="Q425" s="722"/>
      <c r="R425" s="722"/>
      <c r="S425" s="203"/>
      <c r="T425" s="176"/>
      <c r="Y425" s="1"/>
      <c r="Z425" s="1"/>
    </row>
    <row r="426" spans="2:26" ht="15.75" thickBot="1">
      <c r="K426" s="3"/>
      <c r="P426" s="727"/>
      <c r="Q426" s="727"/>
      <c r="R426" s="727"/>
      <c r="S426" s="203"/>
      <c r="T426" s="176"/>
      <c r="Y426" s="721"/>
      <c r="Z426" s="1"/>
    </row>
    <row r="427" spans="2:26" ht="15.75" thickBot="1">
      <c r="B427" s="601" t="s">
        <v>511</v>
      </c>
      <c r="C427" s="58"/>
      <c r="D427" s="602"/>
      <c r="E427" s="397" t="s">
        <v>252</v>
      </c>
      <c r="F427" s="397"/>
      <c r="G427" s="397"/>
      <c r="H427" s="527" t="s">
        <v>253</v>
      </c>
      <c r="I427" s="603" t="s">
        <v>278</v>
      </c>
      <c r="J427" s="604"/>
      <c r="K427" s="3"/>
      <c r="Q427" s="1"/>
      <c r="R427" s="1"/>
      <c r="S427" s="1"/>
      <c r="T427" s="1"/>
      <c r="Y427" s="733"/>
      <c r="Z427" s="1"/>
    </row>
    <row r="428" spans="2:26" ht="13.5" customHeight="1">
      <c r="B428" s="61"/>
      <c r="C428" s="749" t="s">
        <v>759</v>
      </c>
      <c r="D428" s="605"/>
      <c r="E428" s="606" t="s">
        <v>259</v>
      </c>
      <c r="F428" s="532" t="s">
        <v>63</v>
      </c>
      <c r="G428" s="532" t="s">
        <v>64</v>
      </c>
      <c r="H428" s="529" t="s">
        <v>260</v>
      </c>
      <c r="I428" s="607" t="s">
        <v>45</v>
      </c>
      <c r="J428" s="608" t="s">
        <v>279</v>
      </c>
      <c r="K428" s="3"/>
      <c r="P428" s="19"/>
      <c r="Q428" s="19"/>
      <c r="R428" s="783"/>
      <c r="S428" s="14"/>
      <c r="T428" s="1"/>
      <c r="Y428" s="721"/>
      <c r="Z428" s="1"/>
    </row>
    <row r="429" spans="2:26" ht="12.75" customHeight="1" thickBot="1">
      <c r="B429" s="57"/>
      <c r="C429" s="803" t="s">
        <v>319</v>
      </c>
      <c r="D429" s="578"/>
      <c r="E429" s="609" t="s">
        <v>6</v>
      </c>
      <c r="F429" s="538" t="s">
        <v>7</v>
      </c>
      <c r="G429" s="538" t="s">
        <v>8</v>
      </c>
      <c r="H429" s="610" t="s">
        <v>263</v>
      </c>
      <c r="I429" s="568"/>
      <c r="J429" s="611" t="s">
        <v>280</v>
      </c>
      <c r="K429" s="22"/>
      <c r="P429" s="785"/>
      <c r="Q429" s="785"/>
      <c r="R429" s="175"/>
      <c r="S429" s="22"/>
      <c r="T429" s="22"/>
      <c r="U429" s="383"/>
      <c r="V429" s="789"/>
      <c r="W429" s="360"/>
      <c r="X429" s="721"/>
      <c r="Y429" s="721"/>
      <c r="Z429" s="1"/>
    </row>
    <row r="430" spans="2:26" ht="13.5" customHeight="1">
      <c r="B430" s="61"/>
      <c r="C430" s="2362" t="s">
        <v>959</v>
      </c>
      <c r="D430" s="746">
        <v>1</v>
      </c>
      <c r="E430" s="442">
        <v>90</v>
      </c>
      <c r="F430" s="59">
        <v>92</v>
      </c>
      <c r="G430" s="60">
        <v>383</v>
      </c>
      <c r="H430" s="612">
        <v>2720</v>
      </c>
      <c r="I430" s="613" t="s">
        <v>259</v>
      </c>
      <c r="J430" s="2581">
        <f>(E434*100/E430)-45</f>
        <v>0</v>
      </c>
      <c r="K430" s="1029"/>
      <c r="P430" s="787"/>
      <c r="Q430" s="787"/>
      <c r="R430" s="18"/>
      <c r="S430" s="1"/>
      <c r="T430" s="22"/>
      <c r="U430" s="153"/>
      <c r="V430" s="789"/>
      <c r="W430" s="722"/>
      <c r="X430" s="721"/>
      <c r="Y430" s="721"/>
      <c r="Z430" s="1"/>
    </row>
    <row r="431" spans="2:26">
      <c r="B431" s="168"/>
      <c r="C431" s="150" t="s">
        <v>145</v>
      </c>
      <c r="D431" s="614"/>
      <c r="E431" s="769"/>
      <c r="F431" s="443"/>
      <c r="G431" s="443"/>
      <c r="H431" s="770"/>
      <c r="I431" s="615" t="s">
        <v>63</v>
      </c>
      <c r="J431" s="2582">
        <f>(F434*100/F430)-45</f>
        <v>0</v>
      </c>
      <c r="K431" s="3"/>
      <c r="P431" s="723"/>
      <c r="Q431" s="724"/>
      <c r="R431" s="724"/>
      <c r="S431" s="785"/>
      <c r="T431" s="176"/>
      <c r="U431" s="44"/>
      <c r="V431" s="789"/>
      <c r="W431" s="3"/>
      <c r="X431" s="733"/>
      <c r="Y431" s="721"/>
      <c r="Z431" s="1"/>
    </row>
    <row r="432" spans="2:26" ht="15.75">
      <c r="B432" s="751" t="s">
        <v>512</v>
      </c>
      <c r="C432" s="616" t="s">
        <v>473</v>
      </c>
      <c r="D432" s="391">
        <v>0.45</v>
      </c>
      <c r="E432" s="772">
        <v>40.5</v>
      </c>
      <c r="F432" s="773">
        <v>41.4</v>
      </c>
      <c r="G432" s="773">
        <v>172.35</v>
      </c>
      <c r="H432" s="771">
        <v>1224</v>
      </c>
      <c r="I432" s="615" t="s">
        <v>64</v>
      </c>
      <c r="J432" s="2583">
        <f>(G434*100/G430)-45</f>
        <v>0</v>
      </c>
      <c r="K432" s="3"/>
      <c r="P432" s="725"/>
      <c r="Q432" s="725"/>
      <c r="R432" s="725"/>
      <c r="S432" s="785"/>
      <c r="T432" s="176"/>
      <c r="U432" s="44"/>
      <c r="V432" s="789"/>
      <c r="W432" s="722"/>
      <c r="X432" s="721"/>
      <c r="Y432" s="721"/>
      <c r="Z432" s="1"/>
    </row>
    <row r="433" spans="2:26">
      <c r="B433" s="61"/>
      <c r="C433" s="617"/>
      <c r="D433" s="618"/>
      <c r="E433" s="554"/>
      <c r="F433" s="631"/>
      <c r="G433" s="631"/>
      <c r="H433" s="632"/>
      <c r="I433" s="619" t="s">
        <v>281</v>
      </c>
      <c r="J433" s="2584"/>
      <c r="K433" s="3"/>
      <c r="P433" s="2204"/>
      <c r="Q433" s="2204"/>
      <c r="R433" s="2204"/>
      <c r="S433" s="785"/>
      <c r="T433" s="176"/>
      <c r="U433" s="44"/>
      <c r="V433" s="44"/>
      <c r="W433" s="111"/>
      <c r="X433" s="722"/>
      <c r="Y433" s="721"/>
      <c r="Z433" s="1"/>
    </row>
    <row r="434" spans="2:26" ht="12" customHeight="1" thickBot="1">
      <c r="B434" s="620"/>
      <c r="C434" s="621" t="s">
        <v>757</v>
      </c>
      <c r="D434" s="622"/>
      <c r="E434" s="220">
        <f>(E104+E157+E215+E267+E322+E377)/6</f>
        <v>40.5</v>
      </c>
      <c r="F434" s="221">
        <f>(F104+F157+F215+F267+F322+F377)/6</f>
        <v>41.4</v>
      </c>
      <c r="G434" s="221">
        <f>(G104+G157+G215+G267+G322+G377)/6</f>
        <v>172.35</v>
      </c>
      <c r="H434" s="633">
        <f>(H104+H157+H215+H267+H322+H377)/6</f>
        <v>1224</v>
      </c>
      <c r="I434" s="623" t="s">
        <v>263</v>
      </c>
      <c r="J434" s="2585">
        <f>(H434*100/H430)-45</f>
        <v>0</v>
      </c>
      <c r="K434" s="3"/>
      <c r="P434" s="722"/>
      <c r="Q434" s="722"/>
      <c r="R434" s="722"/>
      <c r="S434" s="203"/>
      <c r="T434" s="176"/>
      <c r="U434" s="796"/>
      <c r="V434" s="795"/>
      <c r="W434" s="796"/>
      <c r="X434" s="203"/>
      <c r="Y434" s="154"/>
      <c r="Z434" s="1"/>
    </row>
    <row r="435" spans="2:26" ht="15.75" thickBot="1">
      <c r="K435" s="3"/>
      <c r="P435" s="727"/>
      <c r="Q435" s="727"/>
      <c r="R435" s="727"/>
      <c r="S435" s="203"/>
      <c r="T435" s="176"/>
      <c r="X435" s="210"/>
      <c r="Y435" s="169"/>
      <c r="Z435" s="1"/>
    </row>
    <row r="436" spans="2:26" ht="15.75" thickBot="1">
      <c r="B436" s="601" t="s">
        <v>511</v>
      </c>
      <c r="C436" s="58"/>
      <c r="D436" s="1019" t="s">
        <v>479</v>
      </c>
      <c r="E436" s="397" t="s">
        <v>252</v>
      </c>
      <c r="F436" s="397"/>
      <c r="G436" s="397"/>
      <c r="H436" s="527" t="s">
        <v>253</v>
      </c>
      <c r="I436" s="603" t="s">
        <v>278</v>
      </c>
      <c r="J436" s="604"/>
      <c r="K436" s="3"/>
      <c r="Q436" s="1"/>
      <c r="R436" s="1"/>
      <c r="S436" s="1"/>
      <c r="T436" s="1"/>
      <c r="U436" s="438"/>
      <c r="V436" s="438"/>
      <c r="W436" s="438"/>
      <c r="X436" s="210"/>
      <c r="Y436" s="1"/>
      <c r="Z436" s="1"/>
    </row>
    <row r="437" spans="2:26">
      <c r="B437" s="804" t="s">
        <v>758</v>
      </c>
      <c r="D437" s="605"/>
      <c r="E437" s="606" t="s">
        <v>259</v>
      </c>
      <c r="F437" s="532" t="s">
        <v>63</v>
      </c>
      <c r="G437" s="532" t="s">
        <v>64</v>
      </c>
      <c r="H437" s="529" t="s">
        <v>260</v>
      </c>
      <c r="I437" s="607" t="s">
        <v>45</v>
      </c>
      <c r="J437" s="608" t="s">
        <v>279</v>
      </c>
      <c r="K437" s="3"/>
      <c r="P437" s="19"/>
      <c r="Q437" s="19"/>
      <c r="R437" s="783"/>
      <c r="S437" s="14"/>
      <c r="T437" s="1"/>
      <c r="U437" s="1"/>
      <c r="V437" s="1"/>
      <c r="W437" s="1"/>
      <c r="X437" s="1"/>
      <c r="Y437" s="1"/>
      <c r="Z437" s="1"/>
    </row>
    <row r="438" spans="2:26" ht="13.5" customHeight="1" thickBot="1">
      <c r="B438" s="57"/>
      <c r="C438" s="803" t="s">
        <v>478</v>
      </c>
      <c r="D438" s="578"/>
      <c r="E438" s="609" t="s">
        <v>6</v>
      </c>
      <c r="F438" s="538" t="s">
        <v>7</v>
      </c>
      <c r="G438" s="538" t="s">
        <v>8</v>
      </c>
      <c r="H438" s="610" t="s">
        <v>263</v>
      </c>
      <c r="I438" s="568"/>
      <c r="J438" s="611" t="s">
        <v>280</v>
      </c>
      <c r="P438" s="785"/>
      <c r="Q438" s="785"/>
      <c r="R438" s="175"/>
      <c r="S438" s="22"/>
      <c r="T438" s="22"/>
      <c r="U438" s="1"/>
      <c r="V438" s="1"/>
      <c r="W438" s="1"/>
      <c r="X438" s="1"/>
      <c r="Y438" s="1"/>
      <c r="Z438" s="1"/>
    </row>
    <row r="439" spans="2:26" ht="14.25" customHeight="1">
      <c r="B439" s="88"/>
      <c r="C439" s="2362" t="s">
        <v>959</v>
      </c>
      <c r="D439" s="1008">
        <v>1</v>
      </c>
      <c r="E439" s="442">
        <v>90</v>
      </c>
      <c r="F439" s="59">
        <v>92</v>
      </c>
      <c r="G439" s="60">
        <v>383</v>
      </c>
      <c r="H439" s="612">
        <v>2720</v>
      </c>
      <c r="I439" s="1005" t="s">
        <v>259</v>
      </c>
      <c r="J439" s="2581">
        <f>(E443*100/E439)-70</f>
        <v>0</v>
      </c>
      <c r="K439" s="3"/>
      <c r="P439" s="787"/>
      <c r="Q439" s="787"/>
      <c r="R439" s="18"/>
      <c r="S439" s="1"/>
      <c r="T439" s="22"/>
      <c r="U439" s="19"/>
      <c r="V439" s="19"/>
      <c r="W439" s="783"/>
      <c r="X439" s="783"/>
      <c r="Y439" s="784"/>
      <c r="Z439" s="1"/>
    </row>
    <row r="440" spans="2:26">
      <c r="B440" s="168"/>
      <c r="C440" s="150" t="s">
        <v>145</v>
      </c>
      <c r="D440" s="614"/>
      <c r="E440" s="769"/>
      <c r="F440" s="443"/>
      <c r="G440" s="443"/>
      <c r="H440" s="770"/>
      <c r="I440" s="615" t="s">
        <v>63</v>
      </c>
      <c r="J440" s="2582">
        <f>(F443*100/F439)-70</f>
        <v>5.4347826093703588E-5</v>
      </c>
      <c r="K440" s="3"/>
      <c r="P440" s="723"/>
      <c r="Q440" s="724"/>
      <c r="R440" s="724"/>
      <c r="S440" s="785"/>
      <c r="T440" s="176"/>
      <c r="U440" s="785"/>
      <c r="V440" s="785"/>
      <c r="W440" s="175"/>
      <c r="X440" s="786"/>
      <c r="Y440" s="349"/>
      <c r="Z440" s="1"/>
    </row>
    <row r="441" spans="2:26" ht="15.75">
      <c r="B441" s="751" t="s">
        <v>512</v>
      </c>
      <c r="C441" s="1011" t="s">
        <v>474</v>
      </c>
      <c r="D441" s="1012">
        <v>0.7</v>
      </c>
      <c r="E441" s="1013">
        <v>63</v>
      </c>
      <c r="F441" s="1014">
        <v>64.400000000000006</v>
      </c>
      <c r="G441" s="1014">
        <v>268.10000000000002</v>
      </c>
      <c r="H441" s="1015">
        <v>1904</v>
      </c>
      <c r="I441" s="615" t="s">
        <v>64</v>
      </c>
      <c r="J441" s="2583">
        <f>(G443*100/G439)-70</f>
        <v>0</v>
      </c>
      <c r="K441" s="3"/>
      <c r="P441" s="725"/>
      <c r="Q441" s="725"/>
      <c r="R441" s="725"/>
      <c r="S441" s="785"/>
      <c r="T441" s="176"/>
      <c r="U441" s="787"/>
      <c r="V441" s="787"/>
      <c r="W441" s="18"/>
      <c r="X441" s="349"/>
      <c r="Y441" s="349"/>
      <c r="Z441" s="1"/>
    </row>
    <row r="442" spans="2:26">
      <c r="B442" s="61"/>
      <c r="C442" s="617"/>
      <c r="D442" s="2371"/>
      <c r="E442" s="1017"/>
      <c r="F442" s="1016"/>
      <c r="G442" s="1016"/>
      <c r="H442" s="1018"/>
      <c r="I442" s="619" t="s">
        <v>281</v>
      </c>
      <c r="J442" s="2584"/>
      <c r="K442" s="3"/>
      <c r="P442" s="2204"/>
      <c r="Q442" s="2204"/>
      <c r="R442" s="2204"/>
      <c r="S442" s="785"/>
      <c r="T442" s="176"/>
      <c r="U442" s="44"/>
      <c r="V442" s="44"/>
      <c r="W442" s="111"/>
      <c r="X442" s="722"/>
      <c r="Y442" s="788"/>
      <c r="Z442" s="1"/>
    </row>
    <row r="443" spans="2:26" ht="12" customHeight="1" thickBot="1">
      <c r="B443" s="620"/>
      <c r="C443" s="621" t="s">
        <v>757</v>
      </c>
      <c r="D443" s="2367"/>
      <c r="E443" s="220">
        <f>(E108+E161+E219+E271+E326+E381)/6</f>
        <v>63</v>
      </c>
      <c r="F443" s="221">
        <f>(F108+F161+F219+F271+F326+F381)/6</f>
        <v>64.400050000000007</v>
      </c>
      <c r="G443" s="221">
        <f>(G108+G161+G219+G271+G326+G381)/6</f>
        <v>268.09999999999997</v>
      </c>
      <c r="H443" s="633">
        <f>(H108+H161+H219+H271+H326+H381)/6</f>
        <v>1904.000033333333</v>
      </c>
      <c r="I443" s="1006" t="s">
        <v>263</v>
      </c>
      <c r="J443" s="2585">
        <f>(H443*100/H439)-70</f>
        <v>1.2254901804453766E-6</v>
      </c>
      <c r="K443" s="3"/>
      <c r="Q443" s="1"/>
      <c r="R443" s="1"/>
      <c r="S443" s="203"/>
      <c r="T443" s="176"/>
      <c r="U443" s="44"/>
      <c r="V443" s="222"/>
      <c r="W443" s="111"/>
      <c r="X443" s="6"/>
      <c r="Y443" s="733"/>
      <c r="Z443" s="1"/>
    </row>
    <row r="444" spans="2:26">
      <c r="K444" s="3"/>
      <c r="P444" s="727"/>
      <c r="Q444" s="727"/>
      <c r="R444" s="727"/>
      <c r="S444" s="203"/>
      <c r="T444" s="176"/>
      <c r="U444" s="147"/>
      <c r="V444" s="153"/>
      <c r="W444" s="111"/>
      <c r="X444" s="790"/>
      <c r="Y444" s="721"/>
      <c r="Z444" s="1"/>
    </row>
    <row r="445" spans="2:26" ht="15.75">
      <c r="D445" s="5" t="s">
        <v>286</v>
      </c>
      <c r="K445" s="3"/>
      <c r="P445"/>
      <c r="Q445" s="797"/>
      <c r="R445" s="4"/>
      <c r="S445" s="9"/>
      <c r="T445" s="44"/>
      <c r="U445" s="44"/>
      <c r="V445" s="44"/>
      <c r="W445" s="111"/>
      <c r="X445" s="3"/>
      <c r="Y445" s="721"/>
      <c r="Z445" s="1"/>
    </row>
    <row r="446" spans="2:26">
      <c r="B446" s="19" t="s">
        <v>956</v>
      </c>
      <c r="D446"/>
      <c r="E446"/>
      <c r="I446"/>
      <c r="J446"/>
      <c r="K446" s="3"/>
      <c r="Q446" s="798"/>
      <c r="R446" s="4"/>
      <c r="S446" s="66"/>
      <c r="T446" s="44"/>
      <c r="U446" s="44"/>
      <c r="V446" s="44"/>
      <c r="W446" s="111"/>
      <c r="X446" s="722"/>
      <c r="Y446" s="791"/>
      <c r="Z446" s="1"/>
    </row>
    <row r="447" spans="2:26">
      <c r="C447" s="19" t="s">
        <v>282</v>
      </c>
      <c r="E447"/>
      <c r="F447"/>
      <c r="G447" s="19"/>
      <c r="H447" s="19"/>
      <c r="I447" s="13"/>
      <c r="J447" s="13"/>
      <c r="K447" s="3"/>
      <c r="Q447" s="798"/>
      <c r="R447" s="4"/>
      <c r="S447" s="9"/>
      <c r="T447" s="44"/>
      <c r="U447" s="44"/>
      <c r="V447" s="44"/>
      <c r="W447" s="111"/>
      <c r="X447" s="722"/>
      <c r="Y447" s="721"/>
      <c r="Z447" s="1"/>
    </row>
    <row r="448" spans="2:26" ht="15.75">
      <c r="B448" s="20" t="s">
        <v>510</v>
      </c>
      <c r="C448" s="13"/>
      <c r="D448"/>
      <c r="E448" s="20" t="s">
        <v>0</v>
      </c>
      <c r="F448"/>
      <c r="G448" s="2" t="s">
        <v>317</v>
      </c>
      <c r="H448" s="13"/>
      <c r="I448" s="13"/>
      <c r="J448" s="24"/>
      <c r="K448" s="3"/>
      <c r="R448" s="4"/>
      <c r="S448" s="9"/>
      <c r="T448" s="44"/>
      <c r="U448" s="44"/>
      <c r="V448" s="44"/>
      <c r="W448" s="111"/>
      <c r="X448" s="722"/>
      <c r="Y448" s="721"/>
      <c r="Z448" s="1"/>
    </row>
    <row r="449" spans="2:26" ht="21">
      <c r="D449" s="23" t="s">
        <v>364</v>
      </c>
      <c r="E449"/>
      <c r="F449"/>
      <c r="H449" s="19"/>
      <c r="I449" s="13"/>
      <c r="J449" s="13"/>
      <c r="K449" s="3"/>
      <c r="Q449" s="171"/>
      <c r="S449" s="8"/>
      <c r="T449" s="795"/>
      <c r="U449" s="795"/>
      <c r="V449" s="806"/>
      <c r="W449" s="796"/>
      <c r="X449" s="203"/>
      <c r="Y449" s="154"/>
      <c r="Z449" s="1"/>
    </row>
    <row r="450" spans="2:26" ht="15.75" thickBot="1">
      <c r="K450" s="3"/>
      <c r="S450" s="1"/>
      <c r="T450" s="1"/>
      <c r="U450" s="1"/>
      <c r="V450" s="1"/>
      <c r="W450" s="1"/>
      <c r="X450" s="210"/>
      <c r="Y450" s="169"/>
      <c r="Z450" s="1"/>
    </row>
    <row r="451" spans="2:26" ht="15.75" thickBot="1">
      <c r="B451" s="524" t="s">
        <v>250</v>
      </c>
      <c r="C451" s="99"/>
      <c r="D451" s="525" t="s">
        <v>251</v>
      </c>
      <c r="E451" s="397" t="s">
        <v>252</v>
      </c>
      <c r="F451" s="397"/>
      <c r="G451" s="397"/>
      <c r="H451" s="526" t="s">
        <v>253</v>
      </c>
      <c r="I451" s="527" t="s">
        <v>254</v>
      </c>
      <c r="J451" s="528" t="s">
        <v>255</v>
      </c>
      <c r="K451" s="3"/>
      <c r="R451" s="169"/>
      <c r="S451" s="3"/>
      <c r="T451" s="1"/>
      <c r="U451" s="1"/>
      <c r="V451" s="1"/>
      <c r="W451" s="1"/>
      <c r="X451" s="1"/>
      <c r="Y451" s="1"/>
      <c r="Z451" s="1"/>
    </row>
    <row r="452" spans="2:26">
      <c r="B452" s="529" t="s">
        <v>256</v>
      </c>
      <c r="C452" s="530" t="s">
        <v>257</v>
      </c>
      <c r="D452" s="531" t="s">
        <v>258</v>
      </c>
      <c r="E452" s="532" t="s">
        <v>259</v>
      </c>
      <c r="F452" s="532" t="s">
        <v>63</v>
      </c>
      <c r="G452" s="532" t="s">
        <v>64</v>
      </c>
      <c r="H452" s="533" t="s">
        <v>260</v>
      </c>
      <c r="I452" s="534" t="s">
        <v>261</v>
      </c>
      <c r="J452" s="535" t="s">
        <v>262</v>
      </c>
      <c r="K452" s="3"/>
      <c r="R452" s="4"/>
      <c r="S452" s="9"/>
      <c r="T452" s="153"/>
      <c r="U452" s="153"/>
      <c r="V452" s="153"/>
      <c r="W452" s="111"/>
      <c r="X452" s="6"/>
      <c r="Y452" s="721"/>
      <c r="Z452" s="1"/>
    </row>
    <row r="453" spans="2:26" ht="15.75" thickBot="1">
      <c r="B453" s="536"/>
      <c r="C453" s="579"/>
      <c r="D453" s="537"/>
      <c r="E453" s="538" t="s">
        <v>6</v>
      </c>
      <c r="F453" s="538" t="s">
        <v>7</v>
      </c>
      <c r="G453" s="538" t="s">
        <v>8</v>
      </c>
      <c r="H453" s="539" t="s">
        <v>263</v>
      </c>
      <c r="I453" s="540" t="s">
        <v>264</v>
      </c>
      <c r="J453" s="541" t="s">
        <v>265</v>
      </c>
      <c r="K453" s="3"/>
      <c r="R453" s="62"/>
      <c r="S453" s="9"/>
      <c r="T453" s="44"/>
      <c r="U453" s="44"/>
      <c r="V453" s="44"/>
      <c r="W453" s="111"/>
      <c r="X453" s="722"/>
      <c r="Y453" s="721"/>
      <c r="Z453" s="1"/>
    </row>
    <row r="454" spans="2:26">
      <c r="B454" s="99"/>
      <c r="C454" s="774" t="s">
        <v>199</v>
      </c>
      <c r="D454" s="543"/>
      <c r="E454" s="544"/>
      <c r="F454" s="545"/>
      <c r="G454" s="545"/>
      <c r="H454" s="775"/>
      <c r="I454" s="587"/>
      <c r="J454" s="548"/>
      <c r="K454" s="3"/>
      <c r="R454" s="4"/>
      <c r="S454" s="9"/>
      <c r="T454" s="44"/>
      <c r="U454" s="44"/>
      <c r="V454" s="44"/>
      <c r="W454" s="111"/>
      <c r="X454" s="722"/>
      <c r="Y454" s="721"/>
      <c r="Z454" s="1"/>
    </row>
    <row r="455" spans="2:26">
      <c r="B455" s="550" t="s">
        <v>266</v>
      </c>
      <c r="C455" s="582" t="s">
        <v>375</v>
      </c>
      <c r="D455" s="561">
        <v>60</v>
      </c>
      <c r="E455" s="2392">
        <v>0.7</v>
      </c>
      <c r="F455" s="380">
        <v>0.1</v>
      </c>
      <c r="G455" s="380">
        <v>2.2999999999999998</v>
      </c>
      <c r="H455" s="1384">
        <v>12.8</v>
      </c>
      <c r="I455" s="557">
        <v>2</v>
      </c>
      <c r="J455" s="644" t="s">
        <v>645</v>
      </c>
      <c r="K455" s="3"/>
      <c r="R455" s="4"/>
      <c r="S455" s="9"/>
      <c r="T455" s="44"/>
      <c r="U455" s="44"/>
      <c r="V455" s="44"/>
      <c r="W455" s="111"/>
      <c r="X455" s="722"/>
      <c r="Y455" s="721"/>
      <c r="Z455" s="1"/>
    </row>
    <row r="456" spans="2:26">
      <c r="B456" s="553" t="s">
        <v>500</v>
      </c>
      <c r="C456" s="595" t="s">
        <v>522</v>
      </c>
      <c r="D456" s="551" t="s">
        <v>773</v>
      </c>
      <c r="E456" s="1276">
        <v>11.997999999999999</v>
      </c>
      <c r="F456" s="1294">
        <v>12.916</v>
      </c>
      <c r="G456" s="2400">
        <v>19.513999999999999</v>
      </c>
      <c r="H456" s="1388">
        <v>242.292</v>
      </c>
      <c r="I456" s="598">
        <v>48</v>
      </c>
      <c r="J456" s="552" t="s">
        <v>796</v>
      </c>
      <c r="K456" s="3"/>
      <c r="R456" s="4"/>
      <c r="S456" s="9"/>
      <c r="T456" s="44"/>
      <c r="U456" s="44"/>
      <c r="V456" s="44"/>
      <c r="W456" s="111"/>
      <c r="X456" s="722"/>
      <c r="Y456" s="721"/>
      <c r="Z456" s="1"/>
    </row>
    <row r="457" spans="2:26">
      <c r="B457" s="89"/>
      <c r="C457" s="986" t="s">
        <v>525</v>
      </c>
      <c r="E457" s="1534">
        <v>0.86</v>
      </c>
      <c r="F457" s="2444">
        <v>1.1819999999999999</v>
      </c>
      <c r="G457" s="147">
        <v>4.1849999999999996</v>
      </c>
      <c r="H457" s="1466">
        <v>30.818000000000001</v>
      </c>
      <c r="I457" s="1096"/>
      <c r="J457" s="1089" t="s">
        <v>523</v>
      </c>
      <c r="K457" s="3"/>
      <c r="R457" s="4"/>
      <c r="S457" s="9"/>
      <c r="T457" s="44"/>
      <c r="U457" s="152"/>
      <c r="V457" s="44"/>
      <c r="W457" s="111"/>
      <c r="X457" s="360"/>
      <c r="Y457" s="733"/>
      <c r="Z457" s="1"/>
    </row>
    <row r="458" spans="2:26" ht="15.75">
      <c r="B458" s="555" t="s">
        <v>13</v>
      </c>
      <c r="C458" s="556" t="s">
        <v>339</v>
      </c>
      <c r="D458" s="561">
        <v>200</v>
      </c>
      <c r="E458" s="2392">
        <v>6.5</v>
      </c>
      <c r="F458" s="380">
        <v>5.0999999999999996</v>
      </c>
      <c r="G458" s="380">
        <v>12.957000000000001</v>
      </c>
      <c r="H458" s="1384">
        <v>123.72799999999999</v>
      </c>
      <c r="I458" s="572">
        <v>88</v>
      </c>
      <c r="J458" s="552" t="s">
        <v>807</v>
      </c>
      <c r="K458" s="3"/>
      <c r="Q458" s="171"/>
      <c r="R458" s="433"/>
      <c r="S458" s="8"/>
      <c r="T458" s="795"/>
      <c r="U458" s="796"/>
      <c r="V458" s="795"/>
      <c r="W458" s="817"/>
      <c r="X458" s="203"/>
      <c r="Y458" s="154"/>
      <c r="Z458" s="1"/>
    </row>
    <row r="459" spans="2:26">
      <c r="B459" s="559" t="s">
        <v>275</v>
      </c>
      <c r="C459" s="560" t="s">
        <v>11</v>
      </c>
      <c r="D459" s="561">
        <v>50</v>
      </c>
      <c r="E459" s="2392">
        <v>2.63</v>
      </c>
      <c r="F459" s="380">
        <v>0.35</v>
      </c>
      <c r="G459" s="380">
        <v>20.399999999999999</v>
      </c>
      <c r="H459" s="1384">
        <v>95.27</v>
      </c>
      <c r="I459" s="557">
        <v>11</v>
      </c>
      <c r="J459" s="558" t="s">
        <v>10</v>
      </c>
      <c r="K459" s="3"/>
      <c r="O459" s="2203"/>
      <c r="Q459" s="9"/>
      <c r="R459" s="433"/>
      <c r="S459" s="8"/>
      <c r="X459" s="210"/>
      <c r="Y459" s="169"/>
      <c r="Z459" s="1"/>
    </row>
    <row r="460" spans="2:26">
      <c r="B460" s="559"/>
      <c r="C460" s="595" t="s">
        <v>792</v>
      </c>
      <c r="D460" s="551">
        <v>30</v>
      </c>
      <c r="E460" s="2392">
        <v>1.6950000000000001</v>
      </c>
      <c r="F460" s="380">
        <v>0.36</v>
      </c>
      <c r="G460" s="380">
        <v>12.56</v>
      </c>
      <c r="H460" s="1388">
        <v>60.26</v>
      </c>
      <c r="I460" s="589">
        <v>12</v>
      </c>
      <c r="J460" s="552" t="s">
        <v>10</v>
      </c>
      <c r="K460" s="3"/>
      <c r="O460" s="805"/>
      <c r="R460" s="436"/>
      <c r="T460" s="438"/>
      <c r="U460" s="438"/>
      <c r="V460" s="438"/>
      <c r="W460" s="438"/>
      <c r="X460" s="210"/>
      <c r="Y460" s="1"/>
      <c r="Z460" s="1"/>
    </row>
    <row r="461" spans="2:26" ht="15.75" thickBot="1">
      <c r="B461" s="89"/>
      <c r="C461" s="195" t="s">
        <v>1014</v>
      </c>
      <c r="D461" s="574">
        <v>105</v>
      </c>
      <c r="E461" s="1359">
        <v>1.1319999999999999</v>
      </c>
      <c r="F461" s="1359">
        <v>4.1319999999999997</v>
      </c>
      <c r="G461" s="1359">
        <v>17.29</v>
      </c>
      <c r="H461" s="1384">
        <v>110.876</v>
      </c>
      <c r="I461" s="767">
        <v>74</v>
      </c>
      <c r="J461" s="549" t="s">
        <v>1004</v>
      </c>
      <c r="K461" s="3"/>
      <c r="O461" s="727"/>
      <c r="S461" s="1"/>
      <c r="T461" s="194"/>
      <c r="U461" s="194"/>
      <c r="V461" s="194"/>
      <c r="W461" s="1"/>
      <c r="X461" s="1"/>
      <c r="Y461" s="1"/>
      <c r="Z461" s="1"/>
    </row>
    <row r="462" spans="2:26">
      <c r="B462" s="565" t="s">
        <v>283</v>
      </c>
      <c r="D462" s="169">
        <f>D455+D458+D459+D460+D461+165+35</f>
        <v>645</v>
      </c>
      <c r="E462" s="566">
        <f>SUM(E455:E461)</f>
        <v>25.515000000000001</v>
      </c>
      <c r="F462" s="1353">
        <f>SUM(F455:F461)</f>
        <v>24.14</v>
      </c>
      <c r="G462" s="567">
        <f>SUM(G455:G461)</f>
        <v>89.205999999999989</v>
      </c>
      <c r="H462" s="2486">
        <f>SUM(H455:H461)</f>
        <v>676.04399999999998</v>
      </c>
      <c r="I462" s="1286" t="s">
        <v>482</v>
      </c>
      <c r="J462" s="1020" t="s">
        <v>280</v>
      </c>
      <c r="K462" s="3"/>
      <c r="O462" s="111"/>
      <c r="S462" s="1"/>
      <c r="T462" s="1"/>
      <c r="U462" s="1"/>
      <c r="V462" s="1"/>
      <c r="W462" s="1"/>
      <c r="X462" s="1"/>
      <c r="Y462" s="1"/>
      <c r="Z462" s="1"/>
    </row>
    <row r="463" spans="2:26">
      <c r="B463" s="513"/>
      <c r="C463" s="2322" t="s">
        <v>12</v>
      </c>
      <c r="D463" s="2320">
        <v>0.25</v>
      </c>
      <c r="E463" s="2349">
        <v>22.5</v>
      </c>
      <c r="F463" s="2350">
        <v>23</v>
      </c>
      <c r="G463" s="2327">
        <v>95.75</v>
      </c>
      <c r="H463" s="2328">
        <v>680</v>
      </c>
      <c r="I463" s="1030">
        <f>H463-H462</f>
        <v>3.9560000000000173</v>
      </c>
      <c r="J463" s="2314" t="s">
        <v>938</v>
      </c>
      <c r="O463" s="19"/>
      <c r="R463" s="171"/>
      <c r="V463" s="1"/>
      <c r="W463" s="1"/>
      <c r="Z463" s="1"/>
    </row>
    <row r="464" spans="2:26" ht="15.75" thickBot="1">
      <c r="B464" s="237"/>
      <c r="C464" s="1347" t="s">
        <v>957</v>
      </c>
      <c r="D464" s="2323"/>
      <c r="E464" s="2421">
        <f>(E462*100/E484)-25</f>
        <v>3.3500000000000014</v>
      </c>
      <c r="F464" s="586">
        <f t="shared" ref="F464:H464" si="30">(F462*100/F484)-25</f>
        <v>1.2391304347826093</v>
      </c>
      <c r="G464" s="586">
        <f t="shared" si="30"/>
        <v>-1.7086161879895592</v>
      </c>
      <c r="H464" s="2487">
        <f t="shared" si="30"/>
        <v>-0.14544117647059096</v>
      </c>
      <c r="I464" s="2324"/>
      <c r="J464" s="2325"/>
      <c r="K464" s="22"/>
      <c r="O464" s="730"/>
      <c r="R464" s="19"/>
      <c r="S464" s="1"/>
      <c r="V464" s="19"/>
      <c r="W464" s="19"/>
      <c r="X464" s="13"/>
      <c r="Y464" s="13"/>
      <c r="Z464" s="1"/>
    </row>
    <row r="465" spans="2:26" ht="15.75">
      <c r="B465" s="99"/>
      <c r="C465" s="542" t="s">
        <v>152</v>
      </c>
      <c r="D465" s="99"/>
      <c r="E465" s="194"/>
      <c r="F465" s="2447"/>
      <c r="G465" s="2447"/>
      <c r="H465" s="2447"/>
      <c r="I465" s="571"/>
      <c r="J465" s="571"/>
      <c r="K465" s="1029"/>
      <c r="O465" s="787"/>
      <c r="T465" s="20"/>
      <c r="V465" s="2"/>
      <c r="W465" s="13"/>
      <c r="X465" s="13"/>
      <c r="Y465" s="24"/>
      <c r="Z465" s="1"/>
    </row>
    <row r="466" spans="2:26" ht="15" customHeight="1">
      <c r="B466" s="89"/>
      <c r="C466" s="582" t="s">
        <v>363</v>
      </c>
      <c r="D466" s="561">
        <v>60</v>
      </c>
      <c r="E466" s="2392">
        <v>0.5</v>
      </c>
      <c r="F466" s="380">
        <v>0.1</v>
      </c>
      <c r="G466" s="380">
        <v>1.5</v>
      </c>
      <c r="H466" s="1384">
        <v>8.5</v>
      </c>
      <c r="I466" s="557">
        <v>1</v>
      </c>
      <c r="J466" s="644" t="s">
        <v>687</v>
      </c>
      <c r="K466" s="3"/>
      <c r="O466" s="727"/>
      <c r="S466" s="23"/>
      <c r="V466" s="1"/>
      <c r="W466" s="19"/>
      <c r="X466" s="13"/>
      <c r="Y466" s="13"/>
      <c r="Z466" s="1"/>
    </row>
    <row r="467" spans="2:26">
      <c r="B467" s="89"/>
      <c r="C467" s="595" t="s">
        <v>367</v>
      </c>
      <c r="D467" s="239">
        <v>250</v>
      </c>
      <c r="E467" s="2392">
        <v>2.0129999999999999</v>
      </c>
      <c r="F467" s="380">
        <v>5.0869999999999997</v>
      </c>
      <c r="G467" s="380">
        <v>31.097000000000001</v>
      </c>
      <c r="H467" s="1384">
        <v>178.22300000000001</v>
      </c>
      <c r="I467" s="776">
        <v>17</v>
      </c>
      <c r="J467" s="549" t="s">
        <v>808</v>
      </c>
      <c r="K467" s="3"/>
      <c r="O467" s="725"/>
      <c r="S467" s="523"/>
      <c r="T467" s="154"/>
      <c r="Y467" s="24"/>
      <c r="Z467" s="1"/>
    </row>
    <row r="468" spans="2:26">
      <c r="B468" s="550" t="s">
        <v>266</v>
      </c>
      <c r="C468" s="556" t="s">
        <v>245</v>
      </c>
      <c r="D468" s="561">
        <v>180</v>
      </c>
      <c r="E468" s="2392">
        <v>8.1359999999999992</v>
      </c>
      <c r="F468" s="2459">
        <v>14.61</v>
      </c>
      <c r="G468" s="380">
        <v>30.565000000000001</v>
      </c>
      <c r="H468" s="1384">
        <v>286.29399999999998</v>
      </c>
      <c r="I468" s="557">
        <v>33</v>
      </c>
      <c r="J468" s="558" t="s">
        <v>201</v>
      </c>
      <c r="K468" s="3"/>
      <c r="O468" s="2203"/>
      <c r="S468" s="783"/>
      <c r="T468" s="19"/>
      <c r="U468" s="19"/>
      <c r="V468" s="19"/>
      <c r="W468" s="783"/>
      <c r="X468" s="783"/>
      <c r="Y468" s="784"/>
      <c r="Z468" s="1"/>
    </row>
    <row r="469" spans="2:26">
      <c r="B469" s="553" t="s">
        <v>500</v>
      </c>
      <c r="C469" s="1290" t="s">
        <v>470</v>
      </c>
      <c r="D469" s="561">
        <v>100</v>
      </c>
      <c r="E469" s="2392">
        <v>14.25</v>
      </c>
      <c r="F469" s="380">
        <v>11.662000000000001</v>
      </c>
      <c r="G469" s="380">
        <v>13.801</v>
      </c>
      <c r="H469" s="1388">
        <v>217.16200000000001</v>
      </c>
      <c r="I469" s="557">
        <v>55</v>
      </c>
      <c r="J469" s="558" t="s">
        <v>206</v>
      </c>
      <c r="K469" s="3"/>
      <c r="O469" s="722"/>
      <c r="Q469" s="4"/>
      <c r="R469" s="9"/>
      <c r="S469" s="44"/>
      <c r="T469" s="44"/>
      <c r="U469" s="44"/>
      <c r="V469" s="789"/>
      <c r="W469" s="722"/>
      <c r="X469" s="733"/>
      <c r="Y469" s="349"/>
      <c r="Z469" s="1"/>
    </row>
    <row r="470" spans="2:26" ht="15.75">
      <c r="B470" s="555" t="s">
        <v>13</v>
      </c>
      <c r="C470" s="556" t="s">
        <v>595</v>
      </c>
      <c r="D470" s="561">
        <v>200</v>
      </c>
      <c r="E470" s="2459">
        <v>1</v>
      </c>
      <c r="F470" s="384">
        <v>0</v>
      </c>
      <c r="G470" s="384">
        <v>15.81</v>
      </c>
      <c r="H470" s="1384">
        <v>67.239999999999995</v>
      </c>
      <c r="I470" s="557">
        <v>76</v>
      </c>
      <c r="J470" s="558" t="s">
        <v>9</v>
      </c>
      <c r="K470" s="3"/>
      <c r="O470" s="727"/>
      <c r="Q470" s="4"/>
      <c r="R470" s="66"/>
      <c r="S470" s="44"/>
      <c r="T470" s="44"/>
      <c r="U470" s="44"/>
      <c r="V470" s="789"/>
      <c r="W470" s="722"/>
      <c r="X470" s="788"/>
      <c r="Y470" s="349"/>
      <c r="Z470" s="1"/>
    </row>
    <row r="471" spans="2:26">
      <c r="B471" s="559" t="s">
        <v>275</v>
      </c>
      <c r="C471" s="560" t="s">
        <v>11</v>
      </c>
      <c r="D471" s="561">
        <v>60</v>
      </c>
      <c r="E471" s="2392">
        <v>3.16</v>
      </c>
      <c r="F471" s="380">
        <v>0.42</v>
      </c>
      <c r="G471" s="380">
        <v>24.48</v>
      </c>
      <c r="H471" s="1384">
        <v>114.34</v>
      </c>
      <c r="I471" s="557">
        <v>11</v>
      </c>
      <c r="J471" s="558" t="s">
        <v>10</v>
      </c>
      <c r="K471" s="3"/>
      <c r="Q471" s="4"/>
      <c r="R471" s="9"/>
      <c r="S471" s="153"/>
      <c r="T471" s="430"/>
      <c r="U471" s="153"/>
      <c r="V471" s="789"/>
      <c r="W471" s="722"/>
      <c r="X471" s="721"/>
      <c r="Y471" s="788"/>
      <c r="Z471" s="1"/>
    </row>
    <row r="472" spans="2:26" ht="15.75" thickBot="1">
      <c r="B472" s="89"/>
      <c r="C472" s="573" t="s">
        <v>792</v>
      </c>
      <c r="D472" s="574">
        <v>40</v>
      </c>
      <c r="E472" s="2392">
        <v>2.2599999999999998</v>
      </c>
      <c r="F472" s="380">
        <v>0.48</v>
      </c>
      <c r="G472" s="380">
        <v>16.739999999999998</v>
      </c>
      <c r="H472" s="1388">
        <v>80.319999999999993</v>
      </c>
      <c r="I472" s="589">
        <v>12</v>
      </c>
      <c r="J472" s="552" t="s">
        <v>10</v>
      </c>
      <c r="K472" s="3"/>
      <c r="O472" s="19"/>
      <c r="Q472" s="169"/>
      <c r="R472" s="4"/>
      <c r="S472" s="9"/>
      <c r="T472" s="44"/>
      <c r="U472" s="44"/>
      <c r="V472" s="44"/>
      <c r="W472" s="789"/>
      <c r="X472" s="722"/>
      <c r="Y472" s="721"/>
      <c r="Z472" s="1"/>
    </row>
    <row r="473" spans="2:26" ht="12.75" customHeight="1">
      <c r="B473" s="565" t="s">
        <v>269</v>
      </c>
      <c r="C473" s="1283"/>
      <c r="D473" s="169">
        <f>SUM(D466:D472)</f>
        <v>890</v>
      </c>
      <c r="E473" s="575">
        <f>SUM(E466:E472)</f>
        <v>31.319000000000003</v>
      </c>
      <c r="F473" s="1353">
        <f>SUM(F466:F472)</f>
        <v>32.358999999999995</v>
      </c>
      <c r="G473" s="576">
        <f>SUM(G466:G472)</f>
        <v>133.99300000000002</v>
      </c>
      <c r="H473" s="2486">
        <f>SUM(H466:H472)</f>
        <v>952.07899999999995</v>
      </c>
      <c r="I473" s="1286" t="s">
        <v>482</v>
      </c>
      <c r="J473" s="1020" t="s">
        <v>280</v>
      </c>
      <c r="K473" s="3"/>
      <c r="O473" s="785"/>
      <c r="Q473" s="20"/>
      <c r="S473" s="1"/>
      <c r="T473" s="153"/>
      <c r="U473" s="153"/>
      <c r="V473" s="153"/>
      <c r="W473" s="111"/>
      <c r="X473" s="790"/>
      <c r="Y473" s="40"/>
      <c r="Z473" s="1"/>
    </row>
    <row r="474" spans="2:26">
      <c r="B474" s="513"/>
      <c r="C474" s="2322" t="s">
        <v>12</v>
      </c>
      <c r="D474" s="2320">
        <v>0.35</v>
      </c>
      <c r="E474" s="2349">
        <v>31.5</v>
      </c>
      <c r="F474" s="2350">
        <v>32.200000000000003</v>
      </c>
      <c r="G474" s="2327">
        <v>134.05000000000001</v>
      </c>
      <c r="H474" s="2328">
        <v>952</v>
      </c>
      <c r="I474" s="1030">
        <f>H474-H473</f>
        <v>-7.8999999999950887E-2</v>
      </c>
      <c r="J474" s="2314" t="s">
        <v>938</v>
      </c>
      <c r="K474" s="22"/>
      <c r="O474" s="787"/>
      <c r="S474" s="9"/>
      <c r="T474" s="44"/>
      <c r="U474" s="44"/>
      <c r="V474" s="44"/>
      <c r="W474" s="111"/>
      <c r="X474" s="722"/>
      <c r="Y474" s="721"/>
      <c r="Z474" s="1"/>
    </row>
    <row r="475" spans="2:26" ht="15.75" thickBot="1">
      <c r="B475" s="237"/>
      <c r="C475" s="1347" t="s">
        <v>957</v>
      </c>
      <c r="D475" s="2323"/>
      <c r="E475" s="2421">
        <f>(E473*100/E484)-35</f>
        <v>-0.20111111111111057</v>
      </c>
      <c r="F475" s="586">
        <f t="shared" ref="F475:G475" si="31">(F473*100/F484)-35</f>
        <v>0.17282608695651902</v>
      </c>
      <c r="G475" s="586">
        <f t="shared" si="31"/>
        <v>-1.4882506527406747E-2</v>
      </c>
      <c r="H475" s="2487">
        <f>(H473*100/H484)-35</f>
        <v>2.9044117647032408E-3</v>
      </c>
      <c r="I475" s="2324"/>
      <c r="J475" s="2325"/>
      <c r="K475" s="1029"/>
      <c r="O475" s="111"/>
      <c r="Q475" s="19"/>
      <c r="S475" s="9"/>
      <c r="T475" s="44"/>
      <c r="U475" s="44"/>
      <c r="V475" s="44"/>
      <c r="W475" s="111"/>
      <c r="X475" s="722"/>
      <c r="Y475" s="791"/>
      <c r="Z475" s="1"/>
    </row>
    <row r="476" spans="2:26">
      <c r="B476" s="99"/>
      <c r="C476" s="1090" t="s">
        <v>324</v>
      </c>
      <c r="D476" s="99"/>
      <c r="E476" s="194"/>
      <c r="F476" s="2447"/>
      <c r="G476" s="2447"/>
      <c r="H476" s="2447"/>
      <c r="I476" s="571"/>
      <c r="J476" s="571"/>
      <c r="K476" s="3"/>
      <c r="O476" s="725"/>
      <c r="Q476" s="782"/>
      <c r="S476" s="9"/>
      <c r="T476" s="44"/>
      <c r="U476" s="44"/>
      <c r="V476" s="44"/>
      <c r="W476" s="111"/>
      <c r="X476" s="722"/>
      <c r="Y476" s="721"/>
      <c r="Z476" s="1"/>
    </row>
    <row r="477" spans="2:26">
      <c r="B477" s="89"/>
      <c r="C477" s="556" t="s">
        <v>339</v>
      </c>
      <c r="D477" s="561">
        <v>200</v>
      </c>
      <c r="E477" s="2392">
        <v>5.84</v>
      </c>
      <c r="F477" s="380">
        <v>4.68</v>
      </c>
      <c r="G477" s="380">
        <v>11.194000000000001</v>
      </c>
      <c r="H477" s="1384">
        <v>110.25700000000001</v>
      </c>
      <c r="I477" s="572">
        <v>89</v>
      </c>
      <c r="J477" s="549" t="s">
        <v>809</v>
      </c>
      <c r="K477" s="3"/>
      <c r="O477" s="111"/>
      <c r="Q477" s="175"/>
      <c r="S477" s="9"/>
      <c r="T477" s="44"/>
      <c r="U477" s="152"/>
      <c r="V477" s="44"/>
      <c r="W477" s="111"/>
      <c r="X477" s="360"/>
      <c r="Y477" s="733"/>
      <c r="Z477" s="1"/>
    </row>
    <row r="478" spans="2:26" ht="15.75" thickBot="1">
      <c r="B478" s="89"/>
      <c r="C478" s="573" t="s">
        <v>456</v>
      </c>
      <c r="D478" s="574" t="s">
        <v>542</v>
      </c>
      <c r="E478" s="2415">
        <v>2.7679999999999998</v>
      </c>
      <c r="F478" s="381">
        <v>4.3280000000000003</v>
      </c>
      <c r="G478" s="2415">
        <v>23.305</v>
      </c>
      <c r="H478" s="1388">
        <v>163.87100000000001</v>
      </c>
      <c r="I478" s="833">
        <v>41</v>
      </c>
      <c r="J478" s="552" t="s">
        <v>1000</v>
      </c>
      <c r="K478" s="3"/>
      <c r="O478" s="722"/>
      <c r="Q478" s="171"/>
      <c r="S478" s="8"/>
      <c r="T478" s="795"/>
      <c r="U478" s="795"/>
      <c r="V478" s="806"/>
      <c r="W478" s="796"/>
      <c r="X478" s="203"/>
      <c r="Y478" s="154"/>
      <c r="Z478" s="1"/>
    </row>
    <row r="479" spans="2:26">
      <c r="B479" s="565" t="s">
        <v>357</v>
      </c>
      <c r="C479" s="433"/>
      <c r="D479" s="577">
        <f>D477+155+25</f>
        <v>380</v>
      </c>
      <c r="E479" s="575">
        <f>SUM(E477:E478)</f>
        <v>8.6080000000000005</v>
      </c>
      <c r="F479" s="1353">
        <f>SUM(F477:F478)</f>
        <v>9.0079999999999991</v>
      </c>
      <c r="G479" s="576">
        <f>SUM(G477:G478)</f>
        <v>34.499000000000002</v>
      </c>
      <c r="H479" s="2500">
        <f>SUM(H477:H478)</f>
        <v>274.12800000000004</v>
      </c>
      <c r="I479" s="1273" t="s">
        <v>482</v>
      </c>
      <c r="J479" s="1020" t="s">
        <v>280</v>
      </c>
      <c r="K479" s="3"/>
      <c r="O479" s="2567"/>
      <c r="S479" s="1"/>
      <c r="T479" s="1"/>
      <c r="U479" s="1"/>
      <c r="V479" s="1"/>
      <c r="W479" s="1"/>
      <c r="X479" s="210"/>
      <c r="Y479" s="169"/>
      <c r="Z479" s="1"/>
    </row>
    <row r="480" spans="2:26">
      <c r="B480" s="1343"/>
      <c r="C480" s="2329" t="s">
        <v>12</v>
      </c>
      <c r="D480" s="2320">
        <v>0.1</v>
      </c>
      <c r="E480" s="2349">
        <v>9</v>
      </c>
      <c r="F480" s="2350">
        <v>9.1999999999999993</v>
      </c>
      <c r="G480" s="2327">
        <v>38.299999999999997</v>
      </c>
      <c r="H480" s="2348">
        <v>272</v>
      </c>
      <c r="I480" s="2344">
        <f>H480-H479</f>
        <v>-2.1280000000000427</v>
      </c>
      <c r="J480" s="2314" t="s">
        <v>938</v>
      </c>
      <c r="K480" s="22"/>
      <c r="R480" s="169"/>
      <c r="T480" s="1"/>
      <c r="U480" s="1"/>
      <c r="V480" s="1"/>
      <c r="W480" s="1"/>
      <c r="X480" s="1"/>
      <c r="Y480" s="1"/>
      <c r="Z480" s="1"/>
    </row>
    <row r="481" spans="2:26" ht="15.75" thickBot="1">
      <c r="B481" s="237"/>
      <c r="C481" s="1347" t="s">
        <v>957</v>
      </c>
      <c r="D481" s="2323"/>
      <c r="E481" s="2421">
        <f>(E479*100/E484)-10</f>
        <v>-0.43555555555555436</v>
      </c>
      <c r="F481" s="586">
        <f t="shared" ref="F481:G481" si="32">(F479*100/F484)-10</f>
        <v>-0.20869565217391362</v>
      </c>
      <c r="G481" s="586">
        <f t="shared" si="32"/>
        <v>-0.99242819843341934</v>
      </c>
      <c r="H481" s="2487">
        <f>(H479*100/H484)-10</f>
        <v>7.8235294117648735E-2</v>
      </c>
      <c r="I481" s="2324"/>
      <c r="J481" s="2325"/>
      <c r="K481" s="1029"/>
      <c r="O481" s="19"/>
      <c r="R481" s="4"/>
      <c r="S481" s="9"/>
      <c r="T481" s="383"/>
      <c r="U481" s="383"/>
      <c r="V481" s="720"/>
      <c r="W481" s="111"/>
      <c r="X481" s="818"/>
      <c r="Y481" s="721"/>
      <c r="Z481" s="1"/>
    </row>
    <row r="482" spans="2:26" ht="15.75" thickBot="1">
      <c r="E482" s="194"/>
      <c r="F482" s="194"/>
      <c r="G482" s="194"/>
      <c r="H482" s="194"/>
      <c r="K482" s="3"/>
      <c r="O482" s="785"/>
      <c r="Q482" s="3"/>
      <c r="R482" s="4"/>
      <c r="S482" s="9"/>
      <c r="T482" s="44"/>
      <c r="U482" s="44"/>
      <c r="V482" s="44"/>
      <c r="W482" s="111"/>
      <c r="X482" s="722"/>
      <c r="Y482" s="733"/>
      <c r="Z482" s="1"/>
    </row>
    <row r="483" spans="2:26" ht="15.75">
      <c r="B483" s="2331"/>
      <c r="C483" s="2332"/>
      <c r="D483" s="2333"/>
      <c r="E483" s="2489" t="s">
        <v>6</v>
      </c>
      <c r="F483" s="2490" t="s">
        <v>7</v>
      </c>
      <c r="G483" s="2490" t="s">
        <v>8</v>
      </c>
      <c r="H483" s="2491" t="s">
        <v>958</v>
      </c>
      <c r="I483" s="2334"/>
      <c r="J483" s="2333"/>
      <c r="K483" s="3"/>
      <c r="O483" s="787"/>
      <c r="Q483" s="802"/>
      <c r="R483" s="116"/>
      <c r="S483" s="9"/>
      <c r="T483" s="152"/>
      <c r="U483" s="152"/>
      <c r="V483" s="152"/>
      <c r="W483" s="111"/>
      <c r="X483" s="722"/>
      <c r="Y483" s="721"/>
      <c r="Z483" s="1"/>
    </row>
    <row r="484" spans="2:26" ht="15.75" thickBot="1">
      <c r="B484" s="2335"/>
      <c r="C484" s="2336" t="s">
        <v>959</v>
      </c>
      <c r="D484" s="2337">
        <v>1</v>
      </c>
      <c r="E484" s="2492">
        <v>90</v>
      </c>
      <c r="F484" s="2493">
        <v>92</v>
      </c>
      <c r="G484" s="2494">
        <v>383</v>
      </c>
      <c r="H484" s="2495">
        <v>2720</v>
      </c>
      <c r="I484" s="2338" t="s">
        <v>960</v>
      </c>
      <c r="J484" s="2339"/>
      <c r="K484" s="3"/>
      <c r="O484" s="2190"/>
      <c r="Q484" s="768"/>
      <c r="R484" s="4"/>
      <c r="S484" s="9"/>
      <c r="T484" s="44"/>
      <c r="U484" s="44"/>
      <c r="V484" s="222"/>
      <c r="W484" s="111"/>
      <c r="X484" s="722"/>
      <c r="Y484" s="721"/>
      <c r="Z484" s="1"/>
    </row>
    <row r="485" spans="2:26" ht="15.75" thickBot="1">
      <c r="E485" s="194"/>
      <c r="F485" s="194"/>
      <c r="G485" s="194"/>
      <c r="H485" s="194"/>
      <c r="K485" s="3"/>
      <c r="O485" s="725"/>
      <c r="R485" s="4"/>
      <c r="S485" s="9"/>
      <c r="T485" s="44"/>
      <c r="U485" s="44"/>
      <c r="V485" s="222"/>
      <c r="W485" s="111"/>
      <c r="X485" s="722"/>
      <c r="Y485" s="721"/>
      <c r="Z485" s="1"/>
    </row>
    <row r="486" spans="2:26" ht="15.75">
      <c r="B486" s="1021"/>
      <c r="C486" s="34" t="s">
        <v>481</v>
      </c>
      <c r="D486" s="35"/>
      <c r="E486" s="145">
        <f>E462+E473</f>
        <v>56.834000000000003</v>
      </c>
      <c r="F486" s="243">
        <f>F462+F473</f>
        <v>56.498999999999995</v>
      </c>
      <c r="G486" s="243">
        <f>G462+G473</f>
        <v>223.19900000000001</v>
      </c>
      <c r="H486" s="1024">
        <f>H462+H473</f>
        <v>1628.123</v>
      </c>
      <c r="I486" s="1273" t="s">
        <v>482</v>
      </c>
      <c r="J486" s="1020" t="s">
        <v>280</v>
      </c>
      <c r="K486" s="3"/>
      <c r="O486" s="2204"/>
      <c r="Q486" s="797"/>
      <c r="R486" s="4"/>
      <c r="S486" s="9"/>
      <c r="T486" s="44"/>
      <c r="U486" s="44"/>
      <c r="V486" s="44"/>
      <c r="W486" s="111"/>
      <c r="X486" s="722"/>
      <c r="Y486" s="721"/>
      <c r="Z486" s="1"/>
    </row>
    <row r="487" spans="2:26">
      <c r="B487" s="513"/>
      <c r="C487" s="1368" t="s">
        <v>12</v>
      </c>
      <c r="D487" s="2320">
        <v>0.6</v>
      </c>
      <c r="E487" s="2352">
        <v>54</v>
      </c>
      <c r="F487" s="2353">
        <v>55.2</v>
      </c>
      <c r="G487" s="2341">
        <v>229.8</v>
      </c>
      <c r="H487" s="2342">
        <v>1632</v>
      </c>
      <c r="I487" s="2346">
        <f>H487-H486</f>
        <v>3.8769999999999527</v>
      </c>
      <c r="J487" s="2314" t="s">
        <v>938</v>
      </c>
      <c r="K487" s="3"/>
      <c r="O487" s="722"/>
      <c r="Q487" s="798"/>
      <c r="R487" s="4"/>
      <c r="S487" s="9"/>
      <c r="T487" s="44"/>
      <c r="U487" s="44"/>
      <c r="V487" s="44"/>
      <c r="W487" s="111"/>
      <c r="X487" s="722"/>
      <c r="Y487" s="721"/>
      <c r="Z487" s="1"/>
    </row>
    <row r="488" spans="2:26" ht="15.75" thickBot="1">
      <c r="B488" s="237"/>
      <c r="C488" s="1347" t="s">
        <v>957</v>
      </c>
      <c r="D488" s="2323"/>
      <c r="E488" s="2421">
        <f>(E486*100/E484)-60</f>
        <v>3.148888888888898</v>
      </c>
      <c r="F488" s="586">
        <f t="shared" ref="F488:G488" si="33">(F486*100/F484)-60</f>
        <v>1.4119565217391283</v>
      </c>
      <c r="G488" s="586">
        <f t="shared" si="33"/>
        <v>-1.7234986945169695</v>
      </c>
      <c r="H488" s="2487">
        <f>(H486*100/H484)-60</f>
        <v>-0.14253676470587351</v>
      </c>
      <c r="I488" s="2324"/>
      <c r="J488" s="2325"/>
      <c r="K488" s="3"/>
      <c r="O488" s="727"/>
      <c r="Q488" s="171"/>
      <c r="R488" s="433"/>
      <c r="S488" s="8"/>
      <c r="T488" s="795"/>
      <c r="U488" s="796"/>
      <c r="V488" s="817"/>
      <c r="W488" s="796"/>
      <c r="X488" s="203"/>
      <c r="Y488" s="154"/>
      <c r="Z488" s="1"/>
    </row>
    <row r="489" spans="2:26" ht="15.75" thickBot="1">
      <c r="E489" s="194"/>
      <c r="F489" s="194"/>
      <c r="G489" s="194"/>
      <c r="H489" s="194"/>
      <c r="K489" s="3"/>
      <c r="Q489" s="9"/>
      <c r="R489" s="433"/>
      <c r="S489" s="8"/>
      <c r="X489" s="210"/>
      <c r="Y489" s="169"/>
      <c r="Z489" s="1"/>
    </row>
    <row r="490" spans="2:26">
      <c r="B490" s="1021"/>
      <c r="C490" s="34" t="s">
        <v>480</v>
      </c>
      <c r="D490" s="35"/>
      <c r="E490" s="145">
        <f>E473+E479</f>
        <v>39.927000000000007</v>
      </c>
      <c r="F490" s="243">
        <f>F473+F479</f>
        <v>41.36699999999999</v>
      </c>
      <c r="G490" s="243">
        <f>G473+G479</f>
        <v>168.49200000000002</v>
      </c>
      <c r="H490" s="1024">
        <f>H473+H479</f>
        <v>1226.2069999999999</v>
      </c>
      <c r="I490" s="1273" t="s">
        <v>482</v>
      </c>
      <c r="J490" s="1020" t="s">
        <v>280</v>
      </c>
      <c r="O490" s="19"/>
      <c r="R490" s="436"/>
      <c r="T490" s="438"/>
      <c r="U490" s="438"/>
      <c r="V490" s="438"/>
      <c r="W490" s="438"/>
      <c r="X490" s="210"/>
      <c r="Y490" s="1"/>
      <c r="Z490" s="1"/>
    </row>
    <row r="491" spans="2:26">
      <c r="B491" s="513"/>
      <c r="C491" s="1368" t="s">
        <v>12</v>
      </c>
      <c r="D491" s="2320">
        <v>0.45</v>
      </c>
      <c r="E491" s="2349">
        <v>40.5</v>
      </c>
      <c r="F491" s="2350">
        <v>41.4</v>
      </c>
      <c r="G491" s="2327">
        <v>172.35</v>
      </c>
      <c r="H491" s="2328">
        <v>1224</v>
      </c>
      <c r="I491" s="1030">
        <f>H491-H490</f>
        <v>-2.2069999999998799</v>
      </c>
      <c r="J491" s="2314" t="s">
        <v>938</v>
      </c>
      <c r="K491" s="3"/>
      <c r="O491" s="785"/>
      <c r="S491" s="1"/>
      <c r="T491" s="1"/>
      <c r="U491" s="1"/>
      <c r="V491" s="1"/>
      <c r="W491" s="1"/>
      <c r="X491" s="1"/>
      <c r="Y491" s="1"/>
      <c r="Z491" s="1"/>
    </row>
    <row r="492" spans="2:26" ht="15.75" thickBot="1">
      <c r="B492" s="237"/>
      <c r="C492" s="1347" t="s">
        <v>957</v>
      </c>
      <c r="D492" s="2323"/>
      <c r="E492" s="2421">
        <f>(E490*100/E484)-45</f>
        <v>-0.63666666666665606</v>
      </c>
      <c r="F492" s="586">
        <f t="shared" ref="F492:G492" si="34">(F490*100/F484)-45</f>
        <v>-3.5869565217403476E-2</v>
      </c>
      <c r="G492" s="586">
        <f t="shared" si="34"/>
        <v>-1.0073107049608367</v>
      </c>
      <c r="H492" s="2487">
        <f>(H490*100/H484)-45</f>
        <v>8.1139705882343094E-2</v>
      </c>
      <c r="I492" s="2324"/>
      <c r="J492" s="2325"/>
      <c r="K492" s="3"/>
      <c r="O492" s="787"/>
      <c r="S492" s="1"/>
      <c r="T492" s="1"/>
      <c r="U492" s="1"/>
      <c r="V492" s="1"/>
      <c r="W492" s="1"/>
      <c r="X492" s="1"/>
      <c r="Y492" s="1"/>
      <c r="Z492" s="1"/>
    </row>
    <row r="493" spans="2:26" ht="15.75" thickBot="1">
      <c r="E493" s="194"/>
      <c r="F493" s="194"/>
      <c r="G493" s="194"/>
      <c r="H493" s="194"/>
      <c r="K493" s="3"/>
      <c r="O493" s="2190"/>
      <c r="Q493" s="782"/>
      <c r="S493" s="783"/>
      <c r="T493" s="19"/>
      <c r="U493" s="19"/>
      <c r="V493" s="19"/>
      <c r="W493" s="783"/>
      <c r="X493" s="783"/>
      <c r="Y493" s="784"/>
      <c r="Z493" s="1"/>
    </row>
    <row r="494" spans="2:26">
      <c r="B494" s="1021"/>
      <c r="C494" s="34" t="s">
        <v>358</v>
      </c>
      <c r="D494" s="35"/>
      <c r="E494" s="1291">
        <f>E462+E473+E479</f>
        <v>65.442000000000007</v>
      </c>
      <c r="F494" s="109">
        <f>F462+F473+F479</f>
        <v>65.506999999999991</v>
      </c>
      <c r="G494" s="109">
        <f>G462+G473+G479</f>
        <v>257.69800000000004</v>
      </c>
      <c r="H494" s="244">
        <f>H462+H473+H479</f>
        <v>1902.2510000000002</v>
      </c>
      <c r="I494" s="1273" t="s">
        <v>482</v>
      </c>
      <c r="J494" s="1020" t="s">
        <v>280</v>
      </c>
      <c r="K494" s="3"/>
      <c r="O494" s="725"/>
      <c r="Q494" s="175"/>
      <c r="R494" s="18"/>
      <c r="S494" s="175"/>
      <c r="T494" s="785"/>
      <c r="U494" s="785"/>
      <c r="V494" s="785"/>
      <c r="W494" s="175"/>
      <c r="X494" s="786"/>
      <c r="Y494" s="349"/>
      <c r="Z494" s="1"/>
    </row>
    <row r="495" spans="2:26">
      <c r="B495" s="513"/>
      <c r="C495" s="1368" t="s">
        <v>12</v>
      </c>
      <c r="D495" s="2320">
        <v>0.7</v>
      </c>
      <c r="E495" s="2349">
        <v>63</v>
      </c>
      <c r="F495" s="2350">
        <v>64.400000000000006</v>
      </c>
      <c r="G495" s="2327">
        <v>268.10000000000002</v>
      </c>
      <c r="H495" s="2328">
        <v>1904</v>
      </c>
      <c r="I495" s="2344">
        <f>H495-H494</f>
        <v>1.7489999999997963</v>
      </c>
      <c r="J495" s="2314" t="s">
        <v>938</v>
      </c>
      <c r="K495" s="3"/>
      <c r="O495" s="2204"/>
      <c r="Q495" s="785"/>
      <c r="R495" s="94"/>
      <c r="S495" s="18"/>
      <c r="T495" s="787"/>
      <c r="U495" s="787"/>
      <c r="V495" s="787"/>
      <c r="W495" s="18"/>
      <c r="X495" s="349"/>
      <c r="Y495" s="349"/>
      <c r="Z495" s="1"/>
    </row>
    <row r="496" spans="2:26" ht="15.75" thickBot="1">
      <c r="B496" s="237"/>
      <c r="C496" s="1347" t="s">
        <v>957</v>
      </c>
      <c r="D496" s="2323"/>
      <c r="E496" s="2421">
        <f>(E494*100/E484)-70</f>
        <v>2.7133333333333383</v>
      </c>
      <c r="F496" s="586">
        <f t="shared" ref="F496:G496" si="35">(F494*100/F484)-70</f>
        <v>1.2032608695651987</v>
      </c>
      <c r="G496" s="586">
        <f t="shared" si="35"/>
        <v>-2.7159268929503781</v>
      </c>
      <c r="H496" s="2487">
        <f>(H494*100/H484)-70</f>
        <v>-6.4301470588219445E-2</v>
      </c>
      <c r="I496" s="2324"/>
      <c r="J496" s="2325"/>
      <c r="K496" s="3"/>
      <c r="O496" s="722"/>
      <c r="R496" s="169"/>
      <c r="S496" s="9"/>
      <c r="T496" s="44"/>
      <c r="U496" s="44"/>
      <c r="V496" s="44"/>
      <c r="W496" s="111"/>
      <c r="X496" s="722"/>
      <c r="Y496" s="788"/>
      <c r="Z496" s="1"/>
    </row>
    <row r="497" spans="2:26">
      <c r="E497" s="44"/>
      <c r="F497" s="44"/>
      <c r="G497" s="44"/>
      <c r="H497" s="789"/>
      <c r="I497" s="194"/>
      <c r="J497" s="194"/>
      <c r="K497" s="3"/>
      <c r="O497" s="727"/>
      <c r="Q497" s="169"/>
      <c r="R497" s="4"/>
      <c r="S497" s="9"/>
      <c r="T497" s="153"/>
      <c r="U497" s="153"/>
      <c r="V497" s="153"/>
      <c r="W497" s="111"/>
      <c r="X497" s="722"/>
      <c r="Y497" s="721"/>
      <c r="Z497" s="1"/>
    </row>
    <row r="498" spans="2:26">
      <c r="E498" s="194"/>
      <c r="F498" s="194"/>
      <c r="G498" s="194"/>
      <c r="H498" s="194"/>
      <c r="K498" s="3"/>
      <c r="Q498" s="768"/>
      <c r="R498" s="4"/>
      <c r="S498" s="9"/>
      <c r="T498" s="44"/>
      <c r="U498" s="44"/>
      <c r="V498" s="44"/>
      <c r="W498" s="111"/>
      <c r="X498" s="722"/>
      <c r="Y498" s="721"/>
      <c r="Z498" s="1"/>
    </row>
    <row r="499" spans="2:26" ht="15.75">
      <c r="D499" s="5" t="s">
        <v>286</v>
      </c>
      <c r="K499" s="3"/>
      <c r="O499" s="19"/>
      <c r="Q499" s="797"/>
      <c r="R499" s="218"/>
      <c r="S499" s="66"/>
      <c r="T499" s="44"/>
      <c r="U499" s="44"/>
      <c r="V499" s="44"/>
      <c r="W499" s="111"/>
      <c r="X499" s="360"/>
      <c r="Y499" s="721"/>
      <c r="Z499" s="1"/>
    </row>
    <row r="500" spans="2:26">
      <c r="B500" s="19" t="s">
        <v>956</v>
      </c>
      <c r="D500"/>
      <c r="E500"/>
      <c r="I500"/>
      <c r="J500"/>
      <c r="K500" s="3"/>
      <c r="O500" s="785"/>
      <c r="Q500" s="798"/>
      <c r="R500" s="4"/>
      <c r="S500" s="9"/>
      <c r="T500" s="44"/>
      <c r="U500" s="44"/>
      <c r="V500" s="44"/>
      <c r="W500" s="111"/>
      <c r="X500" s="722"/>
      <c r="Y500" s="721"/>
      <c r="Z500" s="1"/>
    </row>
    <row r="501" spans="2:26">
      <c r="C501" s="19" t="s">
        <v>282</v>
      </c>
      <c r="E501"/>
      <c r="F501"/>
      <c r="G501" s="19"/>
      <c r="H501" s="19"/>
      <c r="I501" s="13"/>
      <c r="J501" s="13"/>
      <c r="K501" s="3"/>
      <c r="O501" s="787"/>
      <c r="Q501" s="798"/>
      <c r="R501" s="4"/>
      <c r="S501" s="9"/>
      <c r="T501" s="44"/>
      <c r="U501" s="44"/>
      <c r="V501" s="44"/>
      <c r="W501" s="111"/>
      <c r="X501" s="722"/>
      <c r="Y501" s="721"/>
      <c r="Z501" s="1"/>
    </row>
    <row r="502" spans="2:26" ht="15.75">
      <c r="B502" s="20" t="s">
        <v>510</v>
      </c>
      <c r="C502" s="13"/>
      <c r="D502"/>
      <c r="E502" s="20" t="s">
        <v>0</v>
      </c>
      <c r="F502"/>
      <c r="G502" s="2" t="s">
        <v>317</v>
      </c>
      <c r="H502" s="13"/>
      <c r="I502" s="13"/>
      <c r="J502" s="24"/>
      <c r="K502" s="3"/>
      <c r="O502" s="2190"/>
      <c r="R502" s="4"/>
      <c r="S502" s="9"/>
      <c r="T502" s="44"/>
      <c r="U502" s="152"/>
      <c r="V502" s="44"/>
      <c r="W502" s="111"/>
      <c r="X502" s="360"/>
      <c r="Y502" s="733"/>
      <c r="Z502" s="1"/>
    </row>
    <row r="503" spans="2:26" ht="21">
      <c r="D503" s="23" t="s">
        <v>364</v>
      </c>
      <c r="E503"/>
      <c r="F503"/>
      <c r="H503" s="19"/>
      <c r="I503" s="13"/>
      <c r="J503" s="13"/>
      <c r="K503" s="3"/>
      <c r="O503" s="725"/>
      <c r="Q503" s="171"/>
      <c r="S503" s="8"/>
      <c r="T503" s="795"/>
      <c r="U503" s="806"/>
      <c r="V503" s="795"/>
      <c r="W503" s="796"/>
      <c r="X503" s="203"/>
      <c r="Y503" s="154"/>
      <c r="Z503" s="1"/>
    </row>
    <row r="504" spans="2:26" ht="15.75" thickBot="1">
      <c r="C504" s="1"/>
      <c r="K504" s="3"/>
      <c r="O504" s="2204"/>
      <c r="S504" s="1"/>
      <c r="T504" s="1"/>
      <c r="U504" s="1"/>
      <c r="V504" s="1"/>
      <c r="W504" s="1"/>
      <c r="X504" s="210"/>
      <c r="Y504" s="169"/>
      <c r="Z504" s="1"/>
    </row>
    <row r="505" spans="2:26" ht="15.75" thickBot="1">
      <c r="B505" s="524" t="s">
        <v>250</v>
      </c>
      <c r="C505" s="99"/>
      <c r="D505" s="525" t="s">
        <v>251</v>
      </c>
      <c r="E505" s="397" t="s">
        <v>252</v>
      </c>
      <c r="F505" s="397"/>
      <c r="G505" s="397"/>
      <c r="H505" s="526" t="s">
        <v>253</v>
      </c>
      <c r="I505" s="527" t="s">
        <v>254</v>
      </c>
      <c r="J505" s="528" t="s">
        <v>255</v>
      </c>
      <c r="K505" s="3"/>
      <c r="R505" s="169"/>
      <c r="S505" s="3"/>
      <c r="T505" s="1"/>
      <c r="U505" s="1"/>
      <c r="V505" s="1"/>
      <c r="W505" s="1"/>
      <c r="X505" s="1"/>
      <c r="Y505" s="1"/>
      <c r="Z505" s="1"/>
    </row>
    <row r="506" spans="2:26">
      <c r="B506" s="529" t="s">
        <v>256</v>
      </c>
      <c r="C506" s="530" t="s">
        <v>257</v>
      </c>
      <c r="D506" s="531" t="s">
        <v>258</v>
      </c>
      <c r="E506" s="532" t="s">
        <v>259</v>
      </c>
      <c r="F506" s="532" t="s">
        <v>63</v>
      </c>
      <c r="G506" s="532" t="s">
        <v>64</v>
      </c>
      <c r="H506" s="533" t="s">
        <v>260</v>
      </c>
      <c r="I506" s="534" t="s">
        <v>261</v>
      </c>
      <c r="J506" s="535" t="s">
        <v>262</v>
      </c>
      <c r="K506" s="3"/>
      <c r="O506" s="727"/>
      <c r="R506" s="4"/>
      <c r="S506" s="66"/>
      <c r="T506" s="383"/>
      <c r="U506" s="2206"/>
      <c r="V506" s="383"/>
      <c r="W506" s="111"/>
      <c r="X506" s="820"/>
      <c r="Y506" s="721"/>
      <c r="Z506" s="1"/>
    </row>
    <row r="507" spans="2:26" ht="15.75" thickBot="1">
      <c r="B507" s="536"/>
      <c r="C507" s="579"/>
      <c r="D507" s="537"/>
      <c r="E507" s="538" t="s">
        <v>6</v>
      </c>
      <c r="F507" s="538" t="s">
        <v>7</v>
      </c>
      <c r="G507" s="538" t="s">
        <v>8</v>
      </c>
      <c r="H507" s="539" t="s">
        <v>263</v>
      </c>
      <c r="I507" s="540" t="s">
        <v>264</v>
      </c>
      <c r="J507" s="541" t="s">
        <v>265</v>
      </c>
      <c r="K507" s="3"/>
      <c r="R507" s="116"/>
      <c r="S507" s="9"/>
      <c r="T507" s="821"/>
      <c r="U507" s="821"/>
      <c r="V507" s="44"/>
      <c r="W507" s="111"/>
      <c r="X507" s="360"/>
      <c r="Y507" s="721"/>
      <c r="Z507" s="1"/>
    </row>
    <row r="508" spans="2:26">
      <c r="B508" s="99"/>
      <c r="C508" s="774" t="s">
        <v>199</v>
      </c>
      <c r="D508" s="543"/>
      <c r="E508" s="544"/>
      <c r="F508" s="545"/>
      <c r="G508" s="545"/>
      <c r="H508" s="775"/>
      <c r="I508" s="587"/>
      <c r="J508" s="548"/>
      <c r="K508" s="3"/>
      <c r="R508" s="4"/>
      <c r="S508" s="9"/>
      <c r="T508" s="44"/>
      <c r="U508" s="44"/>
      <c r="V508" s="44"/>
      <c r="W508" s="111"/>
      <c r="X508" s="790"/>
      <c r="Y508" s="721"/>
      <c r="Z508" s="1"/>
    </row>
    <row r="509" spans="2:26">
      <c r="B509" s="550" t="s">
        <v>266</v>
      </c>
      <c r="C509" s="582" t="s">
        <v>363</v>
      </c>
      <c r="D509" s="561">
        <v>60</v>
      </c>
      <c r="E509" s="2392">
        <v>0.5</v>
      </c>
      <c r="F509" s="380">
        <v>0.1</v>
      </c>
      <c r="G509" s="380">
        <v>1.5</v>
      </c>
      <c r="H509" s="1384">
        <v>8.5</v>
      </c>
      <c r="I509" s="557">
        <v>1</v>
      </c>
      <c r="J509" s="644" t="s">
        <v>687</v>
      </c>
      <c r="K509" s="3"/>
      <c r="R509" s="116"/>
      <c r="S509" s="9"/>
      <c r="T509" s="44"/>
      <c r="U509" s="44"/>
      <c r="V509" s="44"/>
      <c r="W509" s="111"/>
      <c r="X509" s="822"/>
      <c r="Y509" s="791"/>
      <c r="Z509" s="1"/>
    </row>
    <row r="510" spans="2:26">
      <c r="B510" s="553" t="s">
        <v>500</v>
      </c>
      <c r="C510" s="597" t="s">
        <v>355</v>
      </c>
      <c r="D510" s="551">
        <v>195</v>
      </c>
      <c r="E510" s="1276">
        <v>5.19</v>
      </c>
      <c r="F510" s="1294">
        <v>8.8439999999999994</v>
      </c>
      <c r="G510" s="2400">
        <v>39.595999999999997</v>
      </c>
      <c r="H510" s="1388">
        <v>258.74</v>
      </c>
      <c r="I510" s="589">
        <v>32</v>
      </c>
      <c r="J510" s="552" t="s">
        <v>356</v>
      </c>
      <c r="K510" s="3"/>
      <c r="R510" s="4"/>
      <c r="S510" s="9"/>
      <c r="T510" s="44"/>
      <c r="U510" s="44"/>
      <c r="V510" s="44"/>
      <c r="W510" s="111"/>
      <c r="X510" s="722"/>
      <c r="Y510" s="721"/>
      <c r="Z510" s="1"/>
    </row>
    <row r="511" spans="2:26" ht="15.75">
      <c r="B511" s="555" t="s">
        <v>13</v>
      </c>
      <c r="C511" s="1483" t="s">
        <v>599</v>
      </c>
      <c r="D511" s="561" t="s">
        <v>538</v>
      </c>
      <c r="E511" s="2459">
        <v>11.163</v>
      </c>
      <c r="F511" s="380">
        <v>12.169</v>
      </c>
      <c r="G511" s="380">
        <v>12.776999999999999</v>
      </c>
      <c r="H511" s="1384">
        <v>205.28200000000001</v>
      </c>
      <c r="I511" s="557">
        <v>65</v>
      </c>
      <c r="J511" s="549" t="s">
        <v>810</v>
      </c>
      <c r="K511" s="3"/>
      <c r="R511" s="4"/>
      <c r="S511" s="9"/>
      <c r="T511" s="44"/>
      <c r="U511" s="44"/>
      <c r="V511" s="222"/>
      <c r="W511" s="111"/>
      <c r="X511" s="722"/>
      <c r="Y511" s="721"/>
      <c r="Z511" s="1"/>
    </row>
    <row r="512" spans="2:26">
      <c r="B512" s="559" t="s">
        <v>42</v>
      </c>
      <c r="C512" s="556" t="s">
        <v>219</v>
      </c>
      <c r="D512" s="561">
        <v>200</v>
      </c>
      <c r="E512" s="2392">
        <v>0.4</v>
      </c>
      <c r="F512" s="380">
        <v>0</v>
      </c>
      <c r="G512" s="380">
        <v>18.341999999999999</v>
      </c>
      <c r="H512" s="1384">
        <v>74.968000000000004</v>
      </c>
      <c r="I512" s="562">
        <v>77</v>
      </c>
      <c r="J512" s="549" t="s">
        <v>811</v>
      </c>
      <c r="K512" s="3"/>
      <c r="R512" s="4"/>
      <c r="S512" s="9"/>
      <c r="T512" s="44"/>
      <c r="U512" s="44"/>
      <c r="V512" s="44"/>
      <c r="W512" s="111"/>
      <c r="X512" s="722"/>
      <c r="Y512" s="721"/>
      <c r="Z512" s="1"/>
    </row>
    <row r="513" spans="2:26">
      <c r="B513" s="559"/>
      <c r="C513" s="560" t="s">
        <v>11</v>
      </c>
      <c r="D513" s="561">
        <v>40</v>
      </c>
      <c r="E513" s="2392">
        <v>2.1070000000000002</v>
      </c>
      <c r="F513" s="380">
        <v>0.28000000000000003</v>
      </c>
      <c r="G513" s="380">
        <v>16.32</v>
      </c>
      <c r="H513" s="1384">
        <v>76.227999999999994</v>
      </c>
      <c r="I513" s="562">
        <v>11</v>
      </c>
      <c r="J513" s="558" t="s">
        <v>10</v>
      </c>
      <c r="Q513" s="171"/>
      <c r="R513" s="433"/>
      <c r="S513" s="8"/>
      <c r="T513" s="795"/>
      <c r="U513" s="796"/>
      <c r="V513" s="795"/>
      <c r="W513" s="796"/>
      <c r="X513" s="203"/>
      <c r="Y513" s="154"/>
      <c r="Z513" s="1"/>
    </row>
    <row r="514" spans="2:26" ht="15.75" thickBot="1">
      <c r="B514" s="89"/>
      <c r="C514" s="563" t="s">
        <v>792</v>
      </c>
      <c r="D514" s="574">
        <v>30</v>
      </c>
      <c r="E514" s="2392">
        <v>1.6950000000000001</v>
      </c>
      <c r="F514" s="380">
        <v>0.36</v>
      </c>
      <c r="G514" s="380">
        <v>12.56</v>
      </c>
      <c r="H514" s="1388">
        <v>60.26</v>
      </c>
      <c r="I514" s="589">
        <v>12</v>
      </c>
      <c r="J514" s="552" t="s">
        <v>10</v>
      </c>
      <c r="K514" s="3"/>
      <c r="Q514" s="9"/>
      <c r="R514" s="433"/>
      <c r="S514" s="8"/>
      <c r="X514" s="210"/>
      <c r="Y514" s="169"/>
      <c r="Z514" s="1"/>
    </row>
    <row r="515" spans="2:26">
      <c r="B515" s="565" t="s">
        <v>283</v>
      </c>
      <c r="D515" s="169">
        <f>D509+D510+D512+D513+D514+110+10</f>
        <v>645</v>
      </c>
      <c r="E515" s="566">
        <f>SUM(E509:E514)</f>
        <v>21.055</v>
      </c>
      <c r="F515" s="1353">
        <f>SUM(F509:F514)</f>
        <v>21.753</v>
      </c>
      <c r="G515" s="567">
        <f>SUM(G509:G514)</f>
        <v>101.095</v>
      </c>
      <c r="H515" s="2486">
        <f>SUM(H509:H514)</f>
        <v>683.97799999999995</v>
      </c>
      <c r="I515" s="1286" t="s">
        <v>482</v>
      </c>
      <c r="J515" s="1020" t="s">
        <v>280</v>
      </c>
      <c r="K515" s="3"/>
      <c r="T515" s="438"/>
      <c r="U515" s="438"/>
      <c r="V515" s="438"/>
      <c r="W515" s="438"/>
      <c r="X515" s="210"/>
      <c r="Y515" s="1"/>
      <c r="Z515" s="1"/>
    </row>
    <row r="516" spans="2:26">
      <c r="B516" s="513"/>
      <c r="C516" s="1368" t="s">
        <v>12</v>
      </c>
      <c r="D516" s="2320">
        <v>0.25</v>
      </c>
      <c r="E516" s="2349">
        <v>22.5</v>
      </c>
      <c r="F516" s="2350">
        <v>23</v>
      </c>
      <c r="G516" s="2327">
        <v>95.75</v>
      </c>
      <c r="H516" s="2328">
        <v>680</v>
      </c>
      <c r="I516" s="1030">
        <f>H516-H515</f>
        <v>-3.9779999999999518</v>
      </c>
      <c r="J516" s="2314" t="s">
        <v>938</v>
      </c>
      <c r="K516" s="3"/>
      <c r="S516" s="1"/>
      <c r="T516" s="1"/>
      <c r="U516" s="1"/>
      <c r="V516" s="1"/>
      <c r="W516" s="1"/>
      <c r="X516" s="1"/>
      <c r="Y516" s="1"/>
      <c r="Z516" s="1"/>
    </row>
    <row r="517" spans="2:26" ht="15.75" thickBot="1">
      <c r="B517" s="237"/>
      <c r="C517" s="1347" t="s">
        <v>957</v>
      </c>
      <c r="D517" s="2323"/>
      <c r="E517" s="2421">
        <f>(E515*100/E539)-25</f>
        <v>-1.6055555555555543</v>
      </c>
      <c r="F517" s="586">
        <f t="shared" ref="F517:H517" si="36">(F515*100/F539)-25</f>
        <v>-1.3554347826086932</v>
      </c>
      <c r="G517" s="586">
        <f t="shared" si="36"/>
        <v>1.3955613577023485</v>
      </c>
      <c r="H517" s="2487">
        <f t="shared" si="36"/>
        <v>0.14624999999999488</v>
      </c>
      <c r="I517" s="2324"/>
      <c r="J517" s="2325"/>
      <c r="K517" s="22"/>
      <c r="S517" s="9"/>
      <c r="T517" s="150"/>
      <c r="U517" s="150"/>
      <c r="V517" s="150"/>
      <c r="W517" s="150"/>
      <c r="X517" s="49"/>
      <c r="Y517" s="721"/>
      <c r="Z517" s="1"/>
    </row>
    <row r="518" spans="2:26">
      <c r="B518" s="99"/>
      <c r="C518" s="163" t="s">
        <v>152</v>
      </c>
      <c r="D518" s="99"/>
      <c r="E518" s="194"/>
      <c r="F518" s="2447"/>
      <c r="G518" s="2447"/>
      <c r="H518" s="2447"/>
      <c r="I518" s="571"/>
      <c r="J518" s="571"/>
      <c r="K518" s="1029"/>
      <c r="S518" s="1"/>
      <c r="T518" s="153"/>
      <c r="U518" s="153"/>
      <c r="V518" s="153"/>
      <c r="W518" s="1"/>
      <c r="X518" s="1"/>
      <c r="Y518" s="1"/>
      <c r="Z518" s="1"/>
    </row>
    <row r="519" spans="2:26">
      <c r="B519" s="550" t="s">
        <v>266</v>
      </c>
      <c r="C519" s="256" t="s">
        <v>971</v>
      </c>
      <c r="D519" s="551">
        <v>60</v>
      </c>
      <c r="E519" s="2402">
        <v>1.0249999999999999</v>
      </c>
      <c r="F519" s="381">
        <v>3.0030000000000001</v>
      </c>
      <c r="G519" s="381">
        <v>5.0750000000000002</v>
      </c>
      <c r="H519" s="1388">
        <v>51.42</v>
      </c>
      <c r="I519" s="589">
        <v>4</v>
      </c>
      <c r="J519" s="834" t="s">
        <v>360</v>
      </c>
      <c r="K519" s="3"/>
      <c r="S519" s="1"/>
      <c r="T519" s="1"/>
      <c r="U519" s="1"/>
      <c r="V519" s="1"/>
      <c r="W519" s="1"/>
      <c r="X519" s="1"/>
      <c r="Y519" s="1"/>
      <c r="Z519" s="1"/>
    </row>
    <row r="520" spans="2:26">
      <c r="B520" s="553" t="s">
        <v>500</v>
      </c>
      <c r="C520" s="1035" t="s">
        <v>361</v>
      </c>
      <c r="D520" s="551">
        <v>250</v>
      </c>
      <c r="E520" s="2402">
        <v>8.4060000000000006</v>
      </c>
      <c r="F520" s="381">
        <v>11.365</v>
      </c>
      <c r="G520" s="381">
        <v>18.795999999999999</v>
      </c>
      <c r="H520" s="1388">
        <v>211.09800000000001</v>
      </c>
      <c r="I520" s="581">
        <v>23</v>
      </c>
      <c r="J520" s="549" t="s">
        <v>812</v>
      </c>
      <c r="K520" s="3"/>
      <c r="S520" s="1"/>
      <c r="T520" s="1"/>
      <c r="U520" s="1"/>
      <c r="V520" s="1"/>
      <c r="W520" s="1"/>
      <c r="X520" s="1"/>
      <c r="Y520" s="1"/>
      <c r="Z520" s="1"/>
    </row>
    <row r="521" spans="2:26" ht="15.75">
      <c r="B521" s="555" t="s">
        <v>13</v>
      </c>
      <c r="C521" s="595" t="s">
        <v>435</v>
      </c>
      <c r="D521" s="551">
        <v>210</v>
      </c>
      <c r="E521" s="2414">
        <v>14.971</v>
      </c>
      <c r="F521" s="381">
        <v>18.536999999999999</v>
      </c>
      <c r="G521" s="2415">
        <v>22.821000000000002</v>
      </c>
      <c r="H521" s="1388">
        <v>318.00200000000001</v>
      </c>
      <c r="I521" s="589">
        <v>72</v>
      </c>
      <c r="J521" s="780" t="s">
        <v>494</v>
      </c>
      <c r="K521" s="3"/>
    </row>
    <row r="522" spans="2:26">
      <c r="B522" s="559" t="s">
        <v>276</v>
      </c>
      <c r="C522" s="986" t="s">
        <v>215</v>
      </c>
      <c r="D522" s="590"/>
      <c r="E522" s="1534"/>
      <c r="F522" s="2444"/>
      <c r="G522" s="147"/>
      <c r="H522" s="1466"/>
      <c r="I522" s="593"/>
      <c r="J522" s="781"/>
      <c r="K522" s="3"/>
    </row>
    <row r="523" spans="2:26">
      <c r="B523" s="89"/>
      <c r="C523" s="556" t="s">
        <v>596</v>
      </c>
      <c r="D523" s="561">
        <v>200</v>
      </c>
      <c r="E523" s="2392">
        <v>1</v>
      </c>
      <c r="F523" s="380">
        <v>0</v>
      </c>
      <c r="G523" s="380">
        <v>25.4</v>
      </c>
      <c r="H523" s="1466">
        <v>105.6</v>
      </c>
      <c r="I523" s="581">
        <v>76</v>
      </c>
      <c r="J523" s="558" t="s">
        <v>9</v>
      </c>
      <c r="K523" s="3"/>
      <c r="P523" s="4"/>
    </row>
    <row r="524" spans="2:26">
      <c r="B524" s="89"/>
      <c r="C524" s="556" t="s">
        <v>11</v>
      </c>
      <c r="D524" s="561">
        <v>60</v>
      </c>
      <c r="E524" s="2392">
        <v>3.16</v>
      </c>
      <c r="F524" s="380">
        <v>0.42</v>
      </c>
      <c r="G524" s="380">
        <v>24.48</v>
      </c>
      <c r="H524" s="1384">
        <v>114.34</v>
      </c>
      <c r="I524" s="557">
        <v>11</v>
      </c>
      <c r="J524" s="558" t="s">
        <v>10</v>
      </c>
      <c r="K524" s="3"/>
    </row>
    <row r="525" spans="2:26">
      <c r="B525" s="89"/>
      <c r="C525" s="595" t="s">
        <v>792</v>
      </c>
      <c r="D525" s="551">
        <v>50</v>
      </c>
      <c r="E525" s="2402">
        <v>2.83</v>
      </c>
      <c r="F525" s="381">
        <v>0.6</v>
      </c>
      <c r="G525" s="381">
        <v>20.93</v>
      </c>
      <c r="H525" s="1388">
        <v>100.44</v>
      </c>
      <c r="I525" s="572">
        <v>12</v>
      </c>
      <c r="J525" s="552" t="s">
        <v>10</v>
      </c>
      <c r="K525" s="3"/>
    </row>
    <row r="526" spans="2:26" ht="15.75" thickBot="1">
      <c r="B526" s="871"/>
      <c r="C526" s="563" t="s">
        <v>1005</v>
      </c>
      <c r="D526" s="574">
        <v>110</v>
      </c>
      <c r="E526" s="2421">
        <v>0.44</v>
      </c>
      <c r="F526" s="586">
        <v>0.44</v>
      </c>
      <c r="G526" s="586">
        <v>10.78</v>
      </c>
      <c r="H526" s="2488">
        <v>51.7</v>
      </c>
      <c r="I526" s="627">
        <v>73</v>
      </c>
      <c r="J526" s="549" t="s">
        <v>1004</v>
      </c>
      <c r="K526" s="3"/>
      <c r="Q526" s="9"/>
      <c r="R526" s="44"/>
      <c r="S526" s="44"/>
      <c r="T526" s="44"/>
      <c r="U526" s="789"/>
      <c r="V526" s="722"/>
      <c r="W526" s="733"/>
    </row>
    <row r="527" spans="2:26">
      <c r="B527" s="565" t="s">
        <v>269</v>
      </c>
      <c r="C527" s="34"/>
      <c r="D527" s="2372">
        <f>SUM(D519:D526)</f>
        <v>940</v>
      </c>
      <c r="E527" s="575">
        <f>SUM(E519:E526)</f>
        <v>31.832000000000004</v>
      </c>
      <c r="F527" s="1353">
        <f>SUM(F519:F526)</f>
        <v>34.365000000000002</v>
      </c>
      <c r="G527" s="576">
        <f>SUM(G519:G526)</f>
        <v>128.28200000000001</v>
      </c>
      <c r="H527" s="2486">
        <f>SUM(H519:H526)</f>
        <v>952.60000000000014</v>
      </c>
      <c r="I527" s="1286" t="s">
        <v>482</v>
      </c>
      <c r="J527" s="1020" t="s">
        <v>280</v>
      </c>
      <c r="K527" s="22"/>
    </row>
    <row r="528" spans="2:26">
      <c r="B528" s="513"/>
      <c r="C528" s="1368" t="s">
        <v>12</v>
      </c>
      <c r="D528" s="2320">
        <v>0.35</v>
      </c>
      <c r="E528" s="2349">
        <v>31.5</v>
      </c>
      <c r="F528" s="2350">
        <v>32.200000000000003</v>
      </c>
      <c r="G528" s="2327">
        <v>134.05000000000001</v>
      </c>
      <c r="H528" s="2328">
        <v>952</v>
      </c>
      <c r="I528" s="1030">
        <f>H528-H527</f>
        <v>-0.60000000000013642</v>
      </c>
      <c r="J528" s="2314" t="s">
        <v>938</v>
      </c>
      <c r="K528" s="1029"/>
    </row>
    <row r="529" spans="2:11" ht="15.75" thickBot="1">
      <c r="B529" s="237"/>
      <c r="C529" s="1347" t="s">
        <v>957</v>
      </c>
      <c r="D529" s="2323"/>
      <c r="E529" s="2421">
        <f>(E527*100/E539)-35</f>
        <v>0.36888888888888971</v>
      </c>
      <c r="F529" s="586">
        <f t="shared" ref="F529:G529" si="37">(F527*100/F539)-35</f>
        <v>2.3532608695652186</v>
      </c>
      <c r="G529" s="586">
        <f t="shared" si="37"/>
        <v>-1.5060052219321136</v>
      </c>
      <c r="H529" s="2487">
        <f>(H527*100/H539)-35</f>
        <v>2.2058823529420124E-2</v>
      </c>
      <c r="I529" s="2324"/>
      <c r="J529" s="2325"/>
      <c r="K529" s="3"/>
    </row>
    <row r="530" spans="2:11">
      <c r="B530" s="600" t="s">
        <v>266</v>
      </c>
      <c r="C530" s="162" t="s">
        <v>324</v>
      </c>
      <c r="D530" s="99"/>
      <c r="E530" s="2446"/>
      <c r="F530" s="2447"/>
      <c r="G530" s="2447"/>
      <c r="H530" s="2497"/>
      <c r="I530" s="590"/>
      <c r="J530" s="590"/>
      <c r="K530" s="3"/>
    </row>
    <row r="531" spans="2:11">
      <c r="B531" s="553" t="s">
        <v>500</v>
      </c>
      <c r="C531" s="556" t="s">
        <v>219</v>
      </c>
      <c r="D531" s="561">
        <v>200</v>
      </c>
      <c r="E531" s="2392">
        <v>0.48</v>
      </c>
      <c r="F531" s="380">
        <v>0</v>
      </c>
      <c r="G531" s="380">
        <v>17.437000000000001</v>
      </c>
      <c r="H531" s="1384">
        <v>71.668000000000006</v>
      </c>
      <c r="I531" s="562">
        <v>79</v>
      </c>
      <c r="J531" s="549" t="s">
        <v>794</v>
      </c>
      <c r="K531" s="3"/>
    </row>
    <row r="532" spans="2:11" ht="15.75">
      <c r="B532" s="555" t="s">
        <v>13</v>
      </c>
      <c r="C532" s="595" t="s">
        <v>464</v>
      </c>
      <c r="D532" s="551" t="s">
        <v>538</v>
      </c>
      <c r="E532" s="2392">
        <v>7.01</v>
      </c>
      <c r="F532" s="380">
        <v>8.91</v>
      </c>
      <c r="G532" s="380">
        <v>8.0120000000000005</v>
      </c>
      <c r="H532" s="1384">
        <v>140.27799999999999</v>
      </c>
      <c r="I532" s="219">
        <v>66</v>
      </c>
      <c r="J532" s="549" t="s">
        <v>1002</v>
      </c>
      <c r="K532" s="3"/>
    </row>
    <row r="533" spans="2:11" ht="15.75" thickBot="1">
      <c r="B533" s="559" t="s">
        <v>276</v>
      </c>
      <c r="C533" s="563" t="s">
        <v>792</v>
      </c>
      <c r="D533" s="551">
        <v>30</v>
      </c>
      <c r="E533" s="2392">
        <v>1.6950000000000001</v>
      </c>
      <c r="F533" s="380">
        <v>0.36</v>
      </c>
      <c r="G533" s="380">
        <v>12.56</v>
      </c>
      <c r="H533" s="1384">
        <v>60.26</v>
      </c>
      <c r="I533" s="562">
        <v>12</v>
      </c>
      <c r="J533" s="564" t="s">
        <v>10</v>
      </c>
      <c r="K533" s="22"/>
    </row>
    <row r="534" spans="2:11">
      <c r="B534" s="565" t="s">
        <v>357</v>
      </c>
      <c r="C534" s="34"/>
      <c r="D534" s="1293">
        <f>D531+D533+110+10</f>
        <v>350</v>
      </c>
      <c r="E534" s="575">
        <f>SUM(E531:E533)</f>
        <v>9.1850000000000005</v>
      </c>
      <c r="F534" s="1353">
        <f>SUM(F531:F533)</f>
        <v>9.27</v>
      </c>
      <c r="G534" s="576">
        <f>SUM(G531:G533)</f>
        <v>38.009</v>
      </c>
      <c r="H534" s="2486">
        <f>SUM(H531:H533)</f>
        <v>272.20600000000002</v>
      </c>
      <c r="I534" s="1273" t="s">
        <v>482</v>
      </c>
      <c r="J534" s="1020" t="s">
        <v>280</v>
      </c>
      <c r="K534" s="1029"/>
    </row>
    <row r="535" spans="2:11">
      <c r="B535" s="513"/>
      <c r="C535" s="1368" t="s">
        <v>12</v>
      </c>
      <c r="D535" s="2347">
        <v>0.1</v>
      </c>
      <c r="E535" s="2349">
        <v>9</v>
      </c>
      <c r="F535" s="2350">
        <v>9.1999999999999993</v>
      </c>
      <c r="G535" s="2327">
        <v>38.299999999999997</v>
      </c>
      <c r="H535" s="2328">
        <v>272</v>
      </c>
      <c r="I535" s="2344">
        <f>H535-H534</f>
        <v>-0.20600000000001728</v>
      </c>
      <c r="J535" s="2314" t="s">
        <v>938</v>
      </c>
      <c r="K535" s="3"/>
    </row>
    <row r="536" spans="2:11" ht="15.75" thickBot="1">
      <c r="B536" s="237"/>
      <c r="C536" s="1347" t="s">
        <v>957</v>
      </c>
      <c r="D536" s="2323"/>
      <c r="E536" s="2421">
        <f>(E534*100/E539)-10</f>
        <v>0.20555555555555571</v>
      </c>
      <c r="F536" s="586">
        <f t="shared" ref="F536:G536" si="38">(F534*100/F539)-10</f>
        <v>7.6086956521738358E-2</v>
      </c>
      <c r="G536" s="586">
        <f t="shared" si="38"/>
        <v>-7.5979112271539861E-2</v>
      </c>
      <c r="H536" s="2487">
        <f>(H534*100/H539)-10</f>
        <v>7.5735294117649232E-3</v>
      </c>
      <c r="I536" s="2324"/>
      <c r="J536" s="2325"/>
      <c r="K536" s="3"/>
    </row>
    <row r="537" spans="2:11" ht="15.75" thickBot="1">
      <c r="E537" s="194"/>
      <c r="F537" s="194"/>
      <c r="G537" s="194"/>
      <c r="H537" s="194"/>
      <c r="K537" s="3"/>
    </row>
    <row r="538" spans="2:11" ht="15.75">
      <c r="B538" s="2331"/>
      <c r="C538" s="2332"/>
      <c r="D538" s="2333"/>
      <c r="E538" s="2489" t="s">
        <v>6</v>
      </c>
      <c r="F538" s="2490" t="s">
        <v>7</v>
      </c>
      <c r="G538" s="2490" t="s">
        <v>8</v>
      </c>
      <c r="H538" s="2491" t="s">
        <v>958</v>
      </c>
      <c r="I538" s="2334"/>
      <c r="J538" s="2333"/>
      <c r="K538" s="3"/>
    </row>
    <row r="539" spans="2:11" ht="15.75" thickBot="1">
      <c r="B539" s="2335"/>
      <c r="C539" s="2336" t="s">
        <v>959</v>
      </c>
      <c r="D539" s="2337">
        <v>1</v>
      </c>
      <c r="E539" s="2492">
        <v>90</v>
      </c>
      <c r="F539" s="2493">
        <v>92</v>
      </c>
      <c r="G539" s="2494">
        <v>383</v>
      </c>
      <c r="H539" s="2495">
        <v>2720</v>
      </c>
      <c r="I539" s="2338" t="s">
        <v>960</v>
      </c>
      <c r="J539" s="2339"/>
      <c r="K539" s="3"/>
    </row>
    <row r="540" spans="2:11" ht="15.75" thickBot="1">
      <c r="E540" s="194"/>
      <c r="F540" s="194"/>
      <c r="G540" s="194"/>
      <c r="H540" s="194"/>
      <c r="K540" s="3"/>
    </row>
    <row r="541" spans="2:11">
      <c r="B541" s="1021"/>
      <c r="C541" s="34" t="s">
        <v>481</v>
      </c>
      <c r="D541" s="35"/>
      <c r="E541" s="145">
        <f>E515+E527</f>
        <v>52.887</v>
      </c>
      <c r="F541" s="243">
        <f>F515+F527</f>
        <v>56.118000000000002</v>
      </c>
      <c r="G541" s="243">
        <f>G515+G527</f>
        <v>229.37700000000001</v>
      </c>
      <c r="H541" s="1024">
        <f>H515+H527</f>
        <v>1636.578</v>
      </c>
      <c r="I541" s="1286" t="s">
        <v>482</v>
      </c>
      <c r="J541" s="1020" t="s">
        <v>280</v>
      </c>
      <c r="K541" s="3"/>
    </row>
    <row r="542" spans="2:11">
      <c r="B542" s="513"/>
      <c r="C542" s="1368" t="s">
        <v>12</v>
      </c>
      <c r="D542" s="2347">
        <v>0.6</v>
      </c>
      <c r="E542" s="2352">
        <v>54</v>
      </c>
      <c r="F542" s="2353">
        <v>55.2</v>
      </c>
      <c r="G542" s="2341">
        <v>229.8</v>
      </c>
      <c r="H542" s="2342">
        <v>1632</v>
      </c>
      <c r="I542" s="2343">
        <f>H542-H541</f>
        <v>-4.5779999999999745</v>
      </c>
      <c r="J542" s="2314" t="s">
        <v>938</v>
      </c>
    </row>
    <row r="543" spans="2:11" ht="15.75" thickBot="1">
      <c r="B543" s="237"/>
      <c r="C543" s="1347" t="s">
        <v>957</v>
      </c>
      <c r="D543" s="2323"/>
      <c r="E543" s="2421">
        <f>(E541*100/E539)-60</f>
        <v>-1.2366666666666717</v>
      </c>
      <c r="F543" s="586">
        <f t="shared" ref="F543:G543" si="39">(F541*100/F539)-60</f>
        <v>0.99782608695652186</v>
      </c>
      <c r="G543" s="586">
        <f t="shared" si="39"/>
        <v>-0.11044386422976515</v>
      </c>
      <c r="H543" s="2487">
        <f>(H541*100/H539)-60</f>
        <v>0.1683088235294079</v>
      </c>
      <c r="I543" s="2324"/>
      <c r="J543" s="2325"/>
      <c r="K543" s="3"/>
    </row>
    <row r="544" spans="2:11" ht="15.75" thickBot="1">
      <c r="E544" s="194"/>
      <c r="F544" s="194"/>
      <c r="G544" s="194"/>
      <c r="H544" s="194"/>
      <c r="K544" s="3"/>
    </row>
    <row r="545" spans="2:11">
      <c r="B545" s="1021"/>
      <c r="C545" s="34" t="s">
        <v>480</v>
      </c>
      <c r="D545" s="35"/>
      <c r="E545" s="145">
        <f>E527+E534</f>
        <v>41.017000000000003</v>
      </c>
      <c r="F545" s="243">
        <f>F527+F534</f>
        <v>43.635000000000005</v>
      </c>
      <c r="G545" s="243">
        <f>G527+G534</f>
        <v>166.291</v>
      </c>
      <c r="H545" s="1024">
        <f>H527+H534</f>
        <v>1224.806</v>
      </c>
      <c r="I545" s="1286" t="s">
        <v>482</v>
      </c>
      <c r="J545" s="1020" t="s">
        <v>280</v>
      </c>
      <c r="K545" s="3"/>
    </row>
    <row r="546" spans="2:11">
      <c r="B546" s="513"/>
      <c r="C546" s="1368" t="s">
        <v>12</v>
      </c>
      <c r="D546" s="2347">
        <v>0.45</v>
      </c>
      <c r="E546" s="2349">
        <v>40.5</v>
      </c>
      <c r="F546" s="2350">
        <v>41.4</v>
      </c>
      <c r="G546" s="2327">
        <v>172.35</v>
      </c>
      <c r="H546" s="2328">
        <v>1224</v>
      </c>
      <c r="I546" s="1030">
        <f>H546-H545</f>
        <v>-0.80600000000004002</v>
      </c>
      <c r="J546" s="2314" t="s">
        <v>938</v>
      </c>
      <c r="K546" s="3"/>
    </row>
    <row r="547" spans="2:11" ht="15.75" thickBot="1">
      <c r="B547" s="237"/>
      <c r="C547" s="1347" t="s">
        <v>957</v>
      </c>
      <c r="D547" s="2323"/>
      <c r="E547" s="2421">
        <f>(E545*100/E539)-45</f>
        <v>0.57444444444445253</v>
      </c>
      <c r="F547" s="586">
        <f t="shared" ref="F547:G547" si="40">(F545*100/F539)-45</f>
        <v>2.4293478260869676</v>
      </c>
      <c r="G547" s="586">
        <f t="shared" si="40"/>
        <v>-1.5819843342036606</v>
      </c>
      <c r="H547" s="2487">
        <f>(H545*100/H539)-45</f>
        <v>2.9632352941177942E-2</v>
      </c>
      <c r="I547" s="2324"/>
      <c r="J547" s="2325"/>
      <c r="K547" s="3"/>
    </row>
    <row r="548" spans="2:11" ht="15.75" thickBot="1">
      <c r="E548" s="194"/>
      <c r="F548" s="194"/>
      <c r="G548" s="194"/>
      <c r="H548" s="194"/>
      <c r="K548" s="3"/>
    </row>
    <row r="549" spans="2:11">
      <c r="B549" s="1021"/>
      <c r="C549" s="34" t="s">
        <v>358</v>
      </c>
      <c r="D549" s="35"/>
      <c r="E549" s="149">
        <f>E515+E527+E534</f>
        <v>62.072000000000003</v>
      </c>
      <c r="F549" s="109">
        <f>F515+F527+F534</f>
        <v>65.388000000000005</v>
      </c>
      <c r="G549" s="109">
        <f>G515+G527+G534</f>
        <v>267.38600000000002</v>
      </c>
      <c r="H549" s="244">
        <f>H515+H527+H534</f>
        <v>1908.7840000000001</v>
      </c>
      <c r="I549" s="1286" t="s">
        <v>482</v>
      </c>
      <c r="J549" s="1020" t="s">
        <v>280</v>
      </c>
      <c r="K549" s="3"/>
    </row>
    <row r="550" spans="2:11">
      <c r="B550" s="513"/>
      <c r="C550" s="1368" t="s">
        <v>12</v>
      </c>
      <c r="D550" s="2347">
        <v>0.7</v>
      </c>
      <c r="E550" s="2349">
        <v>63</v>
      </c>
      <c r="F550" s="2350">
        <v>64.400000000000006</v>
      </c>
      <c r="G550" s="2327">
        <v>268.10000000000002</v>
      </c>
      <c r="H550" s="2328">
        <v>1904</v>
      </c>
      <c r="I550" s="2344">
        <f>H550-H549</f>
        <v>-4.7840000000001055</v>
      </c>
      <c r="J550" s="2314" t="s">
        <v>938</v>
      </c>
      <c r="K550" s="3"/>
    </row>
    <row r="551" spans="2:11" ht="15.75" thickBot="1">
      <c r="B551" s="237"/>
      <c r="C551" s="1347" t="s">
        <v>957</v>
      </c>
      <c r="D551" s="2323"/>
      <c r="E551" s="2421">
        <f>(E549*100/E539)-70</f>
        <v>-1.0311111111111018</v>
      </c>
      <c r="F551" s="586">
        <f t="shared" ref="F551:G551" si="41">(F549*100/F539)-70</f>
        <v>1.0739130434782567</v>
      </c>
      <c r="G551" s="586">
        <f t="shared" si="41"/>
        <v>-0.18642297650130502</v>
      </c>
      <c r="H551" s="2487">
        <f>(H549*100/H539)-70</f>
        <v>0.17588235294118704</v>
      </c>
      <c r="I551" s="2324"/>
      <c r="J551" s="2325"/>
      <c r="K551" s="3"/>
    </row>
    <row r="552" spans="2:11">
      <c r="E552" s="194"/>
      <c r="F552" s="194"/>
      <c r="G552" s="194"/>
      <c r="H552" s="194"/>
      <c r="K552" s="3"/>
    </row>
    <row r="553" spans="2:11">
      <c r="D553" s="5" t="s">
        <v>286</v>
      </c>
      <c r="E553" s="194"/>
      <c r="F553" s="194"/>
      <c r="G553" s="194"/>
      <c r="H553" s="194"/>
      <c r="K553" s="3"/>
    </row>
    <row r="554" spans="2:11">
      <c r="B554" s="19" t="s">
        <v>956</v>
      </c>
      <c r="D554"/>
      <c r="E554" s="207"/>
      <c r="F554" s="194"/>
      <c r="G554" s="194"/>
      <c r="H554" s="194"/>
      <c r="I554"/>
      <c r="J554"/>
      <c r="K554" s="3"/>
    </row>
    <row r="555" spans="2:11">
      <c r="C555" s="19" t="s">
        <v>282</v>
      </c>
      <c r="E555" s="207"/>
      <c r="F555" s="207"/>
      <c r="G555" s="2504"/>
      <c r="H555" s="2504"/>
      <c r="I555" s="13"/>
      <c r="J555" s="13"/>
      <c r="K555" s="3"/>
    </row>
    <row r="556" spans="2:11" ht="14.25" customHeight="1">
      <c r="B556" s="20" t="s">
        <v>510</v>
      </c>
      <c r="C556" s="13"/>
      <c r="D556"/>
      <c r="E556" s="363" t="s">
        <v>0</v>
      </c>
      <c r="F556" s="207"/>
      <c r="G556" s="2505" t="s">
        <v>317</v>
      </c>
      <c r="H556" s="2506"/>
      <c r="I556" s="13"/>
      <c r="J556" s="24"/>
      <c r="K556" s="3"/>
    </row>
    <row r="557" spans="2:11" ht="21">
      <c r="D557" s="23" t="s">
        <v>364</v>
      </c>
      <c r="E557" s="207"/>
      <c r="F557" s="207"/>
      <c r="G557" s="194"/>
      <c r="H557" s="2504"/>
      <c r="I557" s="13"/>
      <c r="J557" s="13"/>
      <c r="K557" s="3"/>
    </row>
    <row r="558" spans="2:11" ht="15.75" thickBot="1">
      <c r="E558" s="207"/>
      <c r="F558" s="207"/>
      <c r="G558" s="2504"/>
      <c r="H558" s="2504"/>
      <c r="I558" s="13"/>
      <c r="J558" s="13"/>
      <c r="K558" s="3"/>
    </row>
    <row r="559" spans="2:11" ht="18.75" customHeight="1" thickBot="1">
      <c r="B559" s="524" t="s">
        <v>250</v>
      </c>
      <c r="C559" s="99"/>
      <c r="D559" s="525" t="s">
        <v>251</v>
      </c>
      <c r="E559" s="2507" t="s">
        <v>252</v>
      </c>
      <c r="F559" s="2507"/>
      <c r="G559" s="2507"/>
      <c r="H559" s="2508" t="s">
        <v>253</v>
      </c>
      <c r="I559" s="527" t="s">
        <v>254</v>
      </c>
      <c r="J559" s="528" t="s">
        <v>255</v>
      </c>
      <c r="K559" s="3"/>
    </row>
    <row r="560" spans="2:11">
      <c r="B560" s="529" t="s">
        <v>256</v>
      </c>
      <c r="C560" s="530" t="s">
        <v>257</v>
      </c>
      <c r="D560" s="531" t="s">
        <v>258</v>
      </c>
      <c r="E560" s="2509" t="s">
        <v>259</v>
      </c>
      <c r="F560" s="2509" t="s">
        <v>63</v>
      </c>
      <c r="G560" s="2509" t="s">
        <v>64</v>
      </c>
      <c r="H560" s="2510" t="s">
        <v>260</v>
      </c>
      <c r="I560" s="534" t="s">
        <v>261</v>
      </c>
      <c r="J560" s="535" t="s">
        <v>262</v>
      </c>
      <c r="K560" s="3"/>
    </row>
    <row r="561" spans="2:11" ht="15.75" thickBot="1">
      <c r="B561" s="536"/>
      <c r="C561" s="579"/>
      <c r="D561" s="537"/>
      <c r="E561" s="2511" t="s">
        <v>6</v>
      </c>
      <c r="F561" s="2511" t="s">
        <v>7</v>
      </c>
      <c r="G561" s="2511" t="s">
        <v>8</v>
      </c>
      <c r="H561" s="2512" t="s">
        <v>263</v>
      </c>
      <c r="I561" s="540" t="s">
        <v>264</v>
      </c>
      <c r="J561" s="541" t="s">
        <v>265</v>
      </c>
      <c r="K561" s="3"/>
    </row>
    <row r="562" spans="2:11">
      <c r="B562" s="99"/>
      <c r="C562" s="1090" t="s">
        <v>199</v>
      </c>
      <c r="D562" s="173"/>
      <c r="E562" s="2513"/>
      <c r="F562" s="1340"/>
      <c r="G562" s="1340"/>
      <c r="H562" s="2514"/>
      <c r="I562" s="1037"/>
      <c r="J562" s="548"/>
      <c r="K562" s="3"/>
    </row>
    <row r="563" spans="2:11">
      <c r="B563" s="550" t="s">
        <v>266</v>
      </c>
      <c r="C563" s="582" t="s">
        <v>375</v>
      </c>
      <c r="D563" s="561">
        <v>60</v>
      </c>
      <c r="E563" s="2392">
        <v>0.7</v>
      </c>
      <c r="F563" s="380">
        <v>0.1</v>
      </c>
      <c r="G563" s="380">
        <v>2.2999999999999998</v>
      </c>
      <c r="H563" s="1384">
        <v>12.8</v>
      </c>
      <c r="I563" s="557">
        <v>2</v>
      </c>
      <c r="J563" s="644" t="s">
        <v>645</v>
      </c>
      <c r="K563" s="3"/>
    </row>
    <row r="564" spans="2:11">
      <c r="B564" s="553" t="s">
        <v>500</v>
      </c>
      <c r="C564" s="560" t="s">
        <v>506</v>
      </c>
      <c r="D564" s="551" t="s">
        <v>538</v>
      </c>
      <c r="E564" s="1276">
        <v>12.276999999999999</v>
      </c>
      <c r="F564" s="1294">
        <v>12.21</v>
      </c>
      <c r="G564" s="2400">
        <v>14.675000000000001</v>
      </c>
      <c r="H564" s="1388">
        <v>217.69800000000001</v>
      </c>
      <c r="I564" s="1038">
        <v>67</v>
      </c>
      <c r="J564" s="552" t="s">
        <v>182</v>
      </c>
      <c r="K564" s="3"/>
    </row>
    <row r="565" spans="2:11">
      <c r="B565" s="89"/>
      <c r="C565" s="495" t="s">
        <v>777</v>
      </c>
      <c r="D565" s="551" t="s">
        <v>539</v>
      </c>
      <c r="E565" s="2414">
        <v>2.2730000000000001</v>
      </c>
      <c r="F565" s="381">
        <v>6.72</v>
      </c>
      <c r="G565" s="2415">
        <v>23.11</v>
      </c>
      <c r="H565" s="1388">
        <v>162.012</v>
      </c>
      <c r="I565" s="589">
        <v>45</v>
      </c>
      <c r="J565" s="780" t="s">
        <v>778</v>
      </c>
      <c r="K565" s="3"/>
    </row>
    <row r="566" spans="2:11" ht="11.25" customHeight="1">
      <c r="B566" s="89"/>
      <c r="C566" s="417"/>
      <c r="D566" s="590"/>
      <c r="E566" s="1534">
        <v>2.14</v>
      </c>
      <c r="F566" s="2444">
        <v>3.64</v>
      </c>
      <c r="G566" s="147">
        <v>9.1959999999999997</v>
      </c>
      <c r="H566" s="1466">
        <v>78.103999999999999</v>
      </c>
      <c r="I566" s="593"/>
      <c r="J566" s="781"/>
      <c r="K566" s="3"/>
    </row>
    <row r="567" spans="2:11" ht="15.75">
      <c r="B567" s="555" t="s">
        <v>13</v>
      </c>
      <c r="C567" s="560" t="s">
        <v>151</v>
      </c>
      <c r="D567" s="561">
        <v>200</v>
      </c>
      <c r="E567" s="2392">
        <v>1</v>
      </c>
      <c r="F567" s="380">
        <v>0</v>
      </c>
      <c r="G567" s="380">
        <v>16.920000000000002</v>
      </c>
      <c r="H567" s="1384">
        <v>71.680000000000007</v>
      </c>
      <c r="I567" s="581">
        <v>76</v>
      </c>
      <c r="J567" s="558" t="s">
        <v>9</v>
      </c>
      <c r="K567" s="3"/>
    </row>
    <row r="568" spans="2:11">
      <c r="B568" s="559" t="s">
        <v>771</v>
      </c>
      <c r="C568" s="560" t="s">
        <v>11</v>
      </c>
      <c r="D568" s="561">
        <v>40</v>
      </c>
      <c r="E568" s="2392">
        <v>2.1070000000000002</v>
      </c>
      <c r="F568" s="380">
        <v>0.28000000000000003</v>
      </c>
      <c r="G568" s="380">
        <v>16.32</v>
      </c>
      <c r="H568" s="1384">
        <v>76.227999999999994</v>
      </c>
      <c r="I568" s="562">
        <v>11</v>
      </c>
      <c r="J568" s="558" t="s">
        <v>10</v>
      </c>
      <c r="K568" s="3"/>
    </row>
    <row r="569" spans="2:11" ht="15.75" thickBot="1">
      <c r="B569" s="559"/>
      <c r="C569" s="573" t="s">
        <v>792</v>
      </c>
      <c r="D569" s="574">
        <v>30</v>
      </c>
      <c r="E569" s="2392">
        <v>1.6950000000000001</v>
      </c>
      <c r="F569" s="380">
        <v>0.36</v>
      </c>
      <c r="G569" s="380">
        <v>12.56</v>
      </c>
      <c r="H569" s="1388">
        <v>60.26</v>
      </c>
      <c r="I569" s="589">
        <v>12</v>
      </c>
      <c r="J569" s="552" t="s">
        <v>10</v>
      </c>
      <c r="K569" s="3"/>
    </row>
    <row r="570" spans="2:11">
      <c r="B570" s="565" t="s">
        <v>283</v>
      </c>
      <c r="D570" s="169">
        <f>D563+D567+D568+D569+110+10+110+70</f>
        <v>630</v>
      </c>
      <c r="E570" s="566">
        <f>SUM(E563:E569)</f>
        <v>22.191999999999997</v>
      </c>
      <c r="F570" s="1353">
        <f>SUM(F563:F569)</f>
        <v>23.310000000000002</v>
      </c>
      <c r="G570" s="567">
        <f>SUM(G563:G569)</f>
        <v>95.080999999999989</v>
      </c>
      <c r="H570" s="2486">
        <f>SUM(H563:H569)</f>
        <v>678.78199999999993</v>
      </c>
      <c r="I570" s="1286" t="s">
        <v>482</v>
      </c>
      <c r="J570" s="1020" t="s">
        <v>280</v>
      </c>
    </row>
    <row r="571" spans="2:11">
      <c r="B571" s="513"/>
      <c r="C571" s="1368" t="s">
        <v>12</v>
      </c>
      <c r="D571" s="2320">
        <v>0.25</v>
      </c>
      <c r="E571" s="2349">
        <v>22.5</v>
      </c>
      <c r="F571" s="2350">
        <v>23</v>
      </c>
      <c r="G571" s="2327">
        <v>95.75</v>
      </c>
      <c r="H571" s="2328">
        <v>680</v>
      </c>
      <c r="I571" s="1030">
        <f>H571-H570</f>
        <v>1.2180000000000746</v>
      </c>
      <c r="J571" s="2314" t="s">
        <v>938</v>
      </c>
    </row>
    <row r="572" spans="2:11" ht="15.75" thickBot="1">
      <c r="B572" s="237"/>
      <c r="C572" s="1347" t="s">
        <v>957</v>
      </c>
      <c r="D572" s="2323"/>
      <c r="E572" s="2421">
        <f>(E570*100/E593)-25</f>
        <v>-0.34222222222222598</v>
      </c>
      <c r="F572" s="586">
        <f t="shared" ref="F572:H572" si="42">(F570*100/F593)-25</f>
        <v>0.33695652173912904</v>
      </c>
      <c r="G572" s="586">
        <f t="shared" si="42"/>
        <v>-0.17467362924282526</v>
      </c>
      <c r="H572" s="2487">
        <f t="shared" si="42"/>
        <v>-4.4779411764707788E-2</v>
      </c>
      <c r="I572" s="2324"/>
      <c r="J572" s="2325"/>
      <c r="K572" s="22"/>
    </row>
    <row r="573" spans="2:11" ht="13.5" customHeight="1">
      <c r="B573" s="99"/>
      <c r="C573" s="774" t="s">
        <v>152</v>
      </c>
      <c r="D573" s="54"/>
      <c r="E573" s="194"/>
      <c r="F573" s="2447"/>
      <c r="G573" s="2447"/>
      <c r="H573" s="2447"/>
      <c r="I573" s="571"/>
      <c r="J573" s="571"/>
      <c r="K573" s="1029"/>
    </row>
    <row r="574" spans="2:11" ht="13.5" customHeight="1">
      <c r="B574" s="553" t="s">
        <v>500</v>
      </c>
      <c r="C574" s="582" t="s">
        <v>363</v>
      </c>
      <c r="D574" s="561">
        <v>60</v>
      </c>
      <c r="E574" s="2392">
        <v>0.5</v>
      </c>
      <c r="F574" s="380">
        <v>0.1</v>
      </c>
      <c r="G574" s="380">
        <v>1.5</v>
      </c>
      <c r="H574" s="1384">
        <v>8.5</v>
      </c>
      <c r="I574" s="557">
        <v>1</v>
      </c>
      <c r="J574" s="644" t="s">
        <v>687</v>
      </c>
      <c r="K574" s="3"/>
    </row>
    <row r="575" spans="2:11">
      <c r="B575" s="89"/>
      <c r="C575" s="398" t="s">
        <v>223</v>
      </c>
      <c r="D575" s="561">
        <v>250</v>
      </c>
      <c r="E575" s="2392">
        <v>3.7029999999999998</v>
      </c>
      <c r="F575" s="380">
        <v>6.1379999999999999</v>
      </c>
      <c r="G575" s="380">
        <v>11.5</v>
      </c>
      <c r="H575" s="1384">
        <v>116.054</v>
      </c>
      <c r="I575" s="776">
        <v>15</v>
      </c>
      <c r="J575" s="549" t="s">
        <v>813</v>
      </c>
      <c r="K575" s="3"/>
    </row>
    <row r="576" spans="2:11">
      <c r="B576" s="89"/>
      <c r="C576" s="582" t="s">
        <v>113</v>
      </c>
      <c r="D576" s="561">
        <v>190</v>
      </c>
      <c r="E576" s="2498">
        <v>18.12</v>
      </c>
      <c r="F576" s="1359">
        <v>22.456</v>
      </c>
      <c r="G576" s="1359">
        <v>31.913</v>
      </c>
      <c r="H576" s="1384">
        <v>402.23599999999999</v>
      </c>
      <c r="I576" s="580">
        <v>57</v>
      </c>
      <c r="J576" s="558" t="s">
        <v>17</v>
      </c>
      <c r="K576" s="3"/>
    </row>
    <row r="577" spans="2:24" ht="15.75">
      <c r="B577" s="555" t="s">
        <v>13</v>
      </c>
      <c r="C577" s="595" t="s">
        <v>650</v>
      </c>
      <c r="D577" s="561">
        <v>200</v>
      </c>
      <c r="E577" s="2392">
        <v>0.48799999999999999</v>
      </c>
      <c r="F577" s="380">
        <v>8.0000000000000002E-3</v>
      </c>
      <c r="G577" s="380">
        <v>40.292999999999999</v>
      </c>
      <c r="H577" s="1384">
        <v>166.57300000000001</v>
      </c>
      <c r="I577" s="580">
        <v>83</v>
      </c>
      <c r="J577" s="549" t="s">
        <v>814</v>
      </c>
      <c r="K577" s="3"/>
    </row>
    <row r="578" spans="2:24">
      <c r="B578" s="559" t="s">
        <v>771</v>
      </c>
      <c r="C578" s="556" t="s">
        <v>11</v>
      </c>
      <c r="D578" s="561">
        <v>70</v>
      </c>
      <c r="E578" s="2392">
        <v>3.6880000000000002</v>
      </c>
      <c r="F578" s="380">
        <v>0.49</v>
      </c>
      <c r="G578" s="380">
        <v>26.56</v>
      </c>
      <c r="H578" s="1384">
        <v>125.402</v>
      </c>
      <c r="I578" s="562">
        <v>11</v>
      </c>
      <c r="J578" s="558" t="s">
        <v>10</v>
      </c>
      <c r="K578" s="3"/>
      <c r="Q578" s="4"/>
      <c r="R578" s="9"/>
      <c r="S578" s="44"/>
      <c r="T578" s="44"/>
      <c r="U578" s="44"/>
      <c r="V578" s="805"/>
      <c r="W578" s="722"/>
      <c r="X578" s="733"/>
    </row>
    <row r="579" spans="2:24">
      <c r="B579" s="89"/>
      <c r="C579" s="595" t="s">
        <v>792</v>
      </c>
      <c r="D579" s="551">
        <v>40</v>
      </c>
      <c r="E579" s="2392">
        <v>2.2599999999999998</v>
      </c>
      <c r="F579" s="380">
        <v>0.48</v>
      </c>
      <c r="G579" s="380">
        <v>16.739999999999998</v>
      </c>
      <c r="H579" s="1388">
        <v>80.319999999999993</v>
      </c>
      <c r="I579" s="572">
        <v>12</v>
      </c>
      <c r="J579" s="552" t="s">
        <v>10</v>
      </c>
      <c r="K579" s="3"/>
      <c r="Q579" s="4"/>
      <c r="R579" s="9"/>
      <c r="S579" s="44"/>
      <c r="T579" s="44"/>
      <c r="U579" s="44"/>
      <c r="V579" s="805"/>
      <c r="W579" s="722"/>
      <c r="X579" s="721"/>
    </row>
    <row r="580" spans="2:24" ht="15.75" thickBot="1">
      <c r="B580" s="871"/>
      <c r="C580" s="563" t="s">
        <v>1005</v>
      </c>
      <c r="D580" s="574">
        <v>110</v>
      </c>
      <c r="E580" s="2421">
        <v>0.44</v>
      </c>
      <c r="F580" s="586">
        <v>0.44</v>
      </c>
      <c r="G580" s="586">
        <v>10.78</v>
      </c>
      <c r="H580" s="2488">
        <v>51.7</v>
      </c>
      <c r="I580" s="627">
        <v>73</v>
      </c>
      <c r="J580" s="549" t="s">
        <v>1004</v>
      </c>
      <c r="K580" s="3"/>
    </row>
    <row r="581" spans="2:24">
      <c r="B581" s="565" t="s">
        <v>269</v>
      </c>
      <c r="C581" s="34"/>
      <c r="D581" s="169">
        <f>SUM(D574:D580)</f>
        <v>920</v>
      </c>
      <c r="E581" s="575">
        <f>SUM(E574:E580)</f>
        <v>29.199000000000002</v>
      </c>
      <c r="F581" s="1353">
        <f>SUM(F574:F580)</f>
        <v>30.111999999999998</v>
      </c>
      <c r="G581" s="576">
        <f>SUM(G574:G580)</f>
        <v>139.286</v>
      </c>
      <c r="H581" s="2486">
        <f>SUM(H574:H580)</f>
        <v>950.78500000000008</v>
      </c>
      <c r="I581" s="1286" t="s">
        <v>482</v>
      </c>
      <c r="J581" s="1020" t="s">
        <v>280</v>
      </c>
      <c r="K581" s="3"/>
      <c r="P581" s="383"/>
    </row>
    <row r="582" spans="2:24">
      <c r="B582" s="513"/>
      <c r="C582" s="1368" t="s">
        <v>12</v>
      </c>
      <c r="D582" s="2320">
        <v>0.35</v>
      </c>
      <c r="E582" s="2349">
        <v>31.5</v>
      </c>
      <c r="F582" s="2350">
        <v>32.200000000000003</v>
      </c>
      <c r="G582" s="2327">
        <v>134.05000000000001</v>
      </c>
      <c r="H582" s="2328">
        <v>952</v>
      </c>
      <c r="I582" s="1030">
        <f>H582-H581</f>
        <v>1.2149999999999181</v>
      </c>
      <c r="J582" s="2314" t="s">
        <v>938</v>
      </c>
    </row>
    <row r="583" spans="2:24" ht="15.75" thickBot="1">
      <c r="B583" s="237"/>
      <c r="C583" s="1347" t="s">
        <v>957</v>
      </c>
      <c r="D583" s="2323"/>
      <c r="E583" s="2421">
        <f>(E581*100/E593)-35</f>
        <v>-2.5566666666666649</v>
      </c>
      <c r="F583" s="586">
        <f t="shared" ref="F583:H583" si="43">(F581*100/F593)-35</f>
        <v>-2.2695652173913032</v>
      </c>
      <c r="G583" s="586">
        <f t="shared" si="43"/>
        <v>1.3671018276762439</v>
      </c>
      <c r="H583" s="2487">
        <f t="shared" si="43"/>
        <v>-4.4669117647053724E-2</v>
      </c>
      <c r="I583" s="2324"/>
      <c r="J583" s="2325"/>
      <c r="K583" s="22"/>
    </row>
    <row r="584" spans="2:24">
      <c r="B584" s="600" t="s">
        <v>266</v>
      </c>
      <c r="C584" s="162" t="s">
        <v>324</v>
      </c>
      <c r="D584" s="99"/>
      <c r="E584" s="2446"/>
      <c r="F584" s="2447"/>
      <c r="G584" s="2447"/>
      <c r="H584" s="2497"/>
      <c r="I584" s="590"/>
      <c r="J584" s="590"/>
      <c r="K584" s="1029"/>
      <c r="Q584" s="383"/>
    </row>
    <row r="585" spans="2:24">
      <c r="B585" s="553" t="s">
        <v>500</v>
      </c>
      <c r="C585" s="595" t="s">
        <v>593</v>
      </c>
      <c r="D585" s="429">
        <v>200</v>
      </c>
      <c r="E585" s="2392">
        <v>0.3</v>
      </c>
      <c r="F585" s="380">
        <v>0</v>
      </c>
      <c r="G585" s="380">
        <v>5.7859999999999996</v>
      </c>
      <c r="H585" s="1384">
        <v>24.544</v>
      </c>
      <c r="I585" s="557">
        <v>91</v>
      </c>
      <c r="J585" s="549" t="s">
        <v>815</v>
      </c>
    </row>
    <row r="586" spans="2:24" ht="15.75">
      <c r="B586" s="555" t="s">
        <v>13</v>
      </c>
      <c r="C586" s="993" t="s">
        <v>460</v>
      </c>
      <c r="D586" s="429" t="s">
        <v>384</v>
      </c>
      <c r="E586" s="2392">
        <v>6.6776999999999997</v>
      </c>
      <c r="F586" s="380">
        <v>8.2200000000000006</v>
      </c>
      <c r="G586" s="380">
        <v>17.27</v>
      </c>
      <c r="H586" s="1384">
        <v>169.77099999999999</v>
      </c>
      <c r="I586" s="219">
        <v>39</v>
      </c>
      <c r="J586" s="584" t="s">
        <v>496</v>
      </c>
      <c r="K586" s="3"/>
    </row>
    <row r="587" spans="2:24" ht="15.75" thickBot="1">
      <c r="B587" s="1295" t="s">
        <v>771</v>
      </c>
      <c r="C587" s="573" t="s">
        <v>11</v>
      </c>
      <c r="D587" s="574">
        <v>40</v>
      </c>
      <c r="E587" s="2392">
        <v>2.1070000000000002</v>
      </c>
      <c r="F587" s="380">
        <v>0.28000000000000003</v>
      </c>
      <c r="G587" s="380">
        <v>16.32</v>
      </c>
      <c r="H587" s="1384">
        <v>76.227999999999994</v>
      </c>
      <c r="I587" s="562">
        <v>11</v>
      </c>
      <c r="J587" s="558" t="s">
        <v>10</v>
      </c>
      <c r="K587" s="3"/>
      <c r="P587" s="44"/>
    </row>
    <row r="588" spans="2:24" ht="13.5" customHeight="1">
      <c r="B588" s="565" t="s">
        <v>357</v>
      </c>
      <c r="C588" s="433"/>
      <c r="D588" s="577">
        <f>D585+D587+90+20</f>
        <v>350</v>
      </c>
      <c r="E588" s="575">
        <f>SUM(E585:E587)</f>
        <v>9.0846999999999998</v>
      </c>
      <c r="F588" s="1353">
        <f>SUM(F585:F587)</f>
        <v>8.5</v>
      </c>
      <c r="G588" s="576">
        <f>SUM(G585:G587)</f>
        <v>39.375999999999998</v>
      </c>
      <c r="H588" s="2486">
        <f>SUM(H585:H587)</f>
        <v>270.54300000000001</v>
      </c>
      <c r="I588" s="1286" t="s">
        <v>482</v>
      </c>
      <c r="J588" s="1020" t="s">
        <v>280</v>
      </c>
      <c r="K588" s="3"/>
    </row>
    <row r="589" spans="2:24">
      <c r="B589" s="513"/>
      <c r="C589" s="1368" t="s">
        <v>12</v>
      </c>
      <c r="D589" s="2320">
        <v>0.1</v>
      </c>
      <c r="E589" s="2349">
        <v>9</v>
      </c>
      <c r="F589" s="2350">
        <v>9.1999999999999993</v>
      </c>
      <c r="G589" s="2327">
        <v>38.299999999999997</v>
      </c>
      <c r="H589" s="2328">
        <v>272</v>
      </c>
      <c r="I589" s="2344">
        <f>H589-H588</f>
        <v>1.4569999999999936</v>
      </c>
      <c r="J589" s="2314" t="s">
        <v>938</v>
      </c>
      <c r="K589" s="3"/>
    </row>
    <row r="590" spans="2:24" ht="15.75" thickBot="1">
      <c r="B590" s="237"/>
      <c r="C590" s="1347" t="s">
        <v>957</v>
      </c>
      <c r="D590" s="2323"/>
      <c r="E590" s="2421">
        <f>(E588*100/E593)-10</f>
        <v>9.4111111111111256E-2</v>
      </c>
      <c r="F590" s="586">
        <f t="shared" ref="F590:G590" si="44">(F588*100/F593)-10</f>
        <v>-0.76086956521739069</v>
      </c>
      <c r="G590" s="586">
        <f t="shared" si="44"/>
        <v>0.28093994778067888</v>
      </c>
      <c r="H590" s="2487">
        <f>(H588*100/H593)-10</f>
        <v>-5.3566176470589255E-2</v>
      </c>
      <c r="I590" s="2324"/>
      <c r="J590" s="2325"/>
      <c r="K590" s="22"/>
      <c r="Q590" s="44"/>
      <c r="R590" s="789"/>
      <c r="S590" s="722"/>
      <c r="T590" s="721"/>
    </row>
    <row r="591" spans="2:24" ht="15.75" thickBot="1">
      <c r="E591" s="194"/>
      <c r="F591" s="194"/>
      <c r="G591" s="194"/>
      <c r="H591" s="194"/>
      <c r="K591" s="624"/>
    </row>
    <row r="592" spans="2:24" ht="15.75">
      <c r="B592" s="2331"/>
      <c r="C592" s="2332"/>
      <c r="D592" s="2333"/>
      <c r="E592" s="2489" t="s">
        <v>6</v>
      </c>
      <c r="F592" s="2490" t="s">
        <v>7</v>
      </c>
      <c r="G592" s="2490" t="s">
        <v>8</v>
      </c>
      <c r="H592" s="2491" t="s">
        <v>958</v>
      </c>
      <c r="I592" s="2334"/>
      <c r="J592" s="2333"/>
      <c r="K592" s="3"/>
    </row>
    <row r="593" spans="2:11" ht="15.75" thickBot="1">
      <c r="B593" s="2335"/>
      <c r="C593" s="2336" t="s">
        <v>959</v>
      </c>
      <c r="D593" s="2337">
        <v>1</v>
      </c>
      <c r="E593" s="2492">
        <v>90</v>
      </c>
      <c r="F593" s="2493">
        <v>92</v>
      </c>
      <c r="G593" s="2494">
        <v>383</v>
      </c>
      <c r="H593" s="2495">
        <v>2720</v>
      </c>
      <c r="I593" s="2338" t="s">
        <v>960</v>
      </c>
      <c r="J593" s="2339"/>
      <c r="K593" s="3"/>
    </row>
    <row r="594" spans="2:11" ht="15.75" thickBot="1">
      <c r="E594" s="194"/>
      <c r="F594" s="194"/>
      <c r="G594" s="194"/>
      <c r="H594" s="194"/>
      <c r="K594" s="3"/>
    </row>
    <row r="595" spans="2:11">
      <c r="B595" s="1021"/>
      <c r="C595" s="34" t="s">
        <v>481</v>
      </c>
      <c r="D595" s="35"/>
      <c r="E595" s="145">
        <f>E570+E581</f>
        <v>51.390999999999998</v>
      </c>
      <c r="F595" s="243">
        <f>F570+F581</f>
        <v>53.421999999999997</v>
      </c>
      <c r="G595" s="243">
        <f>G570+G581</f>
        <v>234.36699999999999</v>
      </c>
      <c r="H595" s="1024">
        <f>H570+H581</f>
        <v>1629.567</v>
      </c>
      <c r="I595" s="1286" t="s">
        <v>482</v>
      </c>
      <c r="J595" s="1020" t="s">
        <v>280</v>
      </c>
      <c r="K595" s="3"/>
    </row>
    <row r="596" spans="2:11">
      <c r="B596" s="513"/>
      <c r="C596" s="1368" t="s">
        <v>12</v>
      </c>
      <c r="D596" s="2320">
        <v>0.6</v>
      </c>
      <c r="E596" s="2352">
        <v>54</v>
      </c>
      <c r="F596" s="2353">
        <v>55.2</v>
      </c>
      <c r="G596" s="2341">
        <v>229.8</v>
      </c>
      <c r="H596" s="2342">
        <v>1632</v>
      </c>
      <c r="I596" s="2343">
        <f>H596-H595</f>
        <v>2.4329999999999927</v>
      </c>
      <c r="J596" s="2314" t="s">
        <v>938</v>
      </c>
      <c r="K596" s="3"/>
    </row>
    <row r="597" spans="2:11" ht="15.75" thickBot="1">
      <c r="B597" s="237"/>
      <c r="C597" s="1347" t="s">
        <v>957</v>
      </c>
      <c r="D597" s="2323"/>
      <c r="E597" s="2421">
        <f>(E595*100/E593)-60</f>
        <v>-2.898888888888898</v>
      </c>
      <c r="F597" s="586">
        <f t="shared" ref="F597:G597" si="45">(F595*100/F593)-60</f>
        <v>-1.9326086956521777</v>
      </c>
      <c r="G597" s="586">
        <f t="shared" si="45"/>
        <v>1.1924281984334257</v>
      </c>
      <c r="H597" s="2487">
        <f>(H595*100/H593)-60</f>
        <v>-8.9448529411761513E-2</v>
      </c>
      <c r="I597" s="2324"/>
      <c r="J597" s="2325"/>
      <c r="K597" s="3"/>
    </row>
    <row r="598" spans="2:11" ht="15.75" thickBot="1">
      <c r="E598" s="194"/>
      <c r="F598" s="194"/>
      <c r="G598" s="194"/>
      <c r="H598" s="194"/>
      <c r="K598" s="3"/>
    </row>
    <row r="599" spans="2:11">
      <c r="B599" s="1021"/>
      <c r="C599" s="34" t="s">
        <v>480</v>
      </c>
      <c r="D599" s="35"/>
      <c r="E599" s="145">
        <f>E581+E588</f>
        <v>38.283700000000003</v>
      </c>
      <c r="F599" s="243">
        <f>F581+F588</f>
        <v>38.611999999999995</v>
      </c>
      <c r="G599" s="243">
        <f>G581+G588</f>
        <v>178.66200000000001</v>
      </c>
      <c r="H599" s="1024">
        <f>H581+H588</f>
        <v>1221.328</v>
      </c>
      <c r="I599" s="1286" t="s">
        <v>482</v>
      </c>
      <c r="J599" s="1020" t="s">
        <v>280</v>
      </c>
      <c r="K599" s="3"/>
    </row>
    <row r="600" spans="2:11">
      <c r="B600" s="513"/>
      <c r="C600" s="1368" t="s">
        <v>12</v>
      </c>
      <c r="D600" s="2320">
        <v>0.45</v>
      </c>
      <c r="E600" s="2349">
        <v>40.5</v>
      </c>
      <c r="F600" s="2350">
        <v>41.4</v>
      </c>
      <c r="G600" s="2327">
        <v>172.35</v>
      </c>
      <c r="H600" s="2328">
        <v>1224</v>
      </c>
      <c r="I600" s="1030">
        <f>H600-H599</f>
        <v>2.6720000000000255</v>
      </c>
      <c r="J600" s="2314" t="s">
        <v>938</v>
      </c>
      <c r="K600" s="3"/>
    </row>
    <row r="601" spans="2:11" ht="15.75" thickBot="1">
      <c r="B601" s="237"/>
      <c r="C601" s="1347" t="s">
        <v>957</v>
      </c>
      <c r="D601" s="2323"/>
      <c r="E601" s="2421">
        <f>(E599*100/E593)-45</f>
        <v>-2.4625555555555536</v>
      </c>
      <c r="F601" s="586">
        <f t="shared" ref="F601:G601" si="46">(F599*100/F593)-45</f>
        <v>-3.030434782608701</v>
      </c>
      <c r="G601" s="586">
        <f t="shared" si="46"/>
        <v>1.6480417754569174</v>
      </c>
      <c r="H601" s="2487">
        <f>(H599*100/H593)-45</f>
        <v>-9.8235294117642979E-2</v>
      </c>
      <c r="I601" s="2324"/>
      <c r="J601" s="2325"/>
      <c r="K601" s="3"/>
    </row>
    <row r="602" spans="2:11" ht="15.75" thickBot="1">
      <c r="E602" s="194"/>
      <c r="F602" s="194"/>
      <c r="G602" s="194"/>
      <c r="H602" s="194"/>
      <c r="K602" s="3"/>
    </row>
    <row r="603" spans="2:11">
      <c r="B603" s="1021"/>
      <c r="C603" s="34" t="s">
        <v>358</v>
      </c>
      <c r="D603" s="35"/>
      <c r="E603" s="149">
        <f>E570+E581+E588</f>
        <v>60.475699999999996</v>
      </c>
      <c r="F603" s="109">
        <f>F570+F581+F588</f>
        <v>61.921999999999997</v>
      </c>
      <c r="G603" s="109">
        <f>G570+G581+G588</f>
        <v>273.74299999999999</v>
      </c>
      <c r="H603" s="244">
        <f>H570+H581+H588</f>
        <v>1900.1100000000001</v>
      </c>
      <c r="I603" s="1286" t="s">
        <v>482</v>
      </c>
      <c r="J603" s="1020" t="s">
        <v>280</v>
      </c>
      <c r="K603" s="3"/>
    </row>
    <row r="604" spans="2:11">
      <c r="B604" s="513"/>
      <c r="C604" s="1368" t="s">
        <v>12</v>
      </c>
      <c r="D604" s="2320">
        <v>0.7</v>
      </c>
      <c r="E604" s="2349">
        <v>63</v>
      </c>
      <c r="F604" s="2350">
        <v>64.400000000000006</v>
      </c>
      <c r="G604" s="2327">
        <v>268.10000000000002</v>
      </c>
      <c r="H604" s="2328">
        <v>1904</v>
      </c>
      <c r="I604" s="2344">
        <f>H604-H603</f>
        <v>3.8899999999998727</v>
      </c>
      <c r="J604" s="2314" t="s">
        <v>938</v>
      </c>
      <c r="K604" s="3"/>
    </row>
    <row r="605" spans="2:11" ht="15.75" thickBot="1">
      <c r="B605" s="237"/>
      <c r="C605" s="1347" t="s">
        <v>957</v>
      </c>
      <c r="D605" s="2323"/>
      <c r="E605" s="2421">
        <f>(E603*100/E593)-70</f>
        <v>-2.8047777777777867</v>
      </c>
      <c r="F605" s="586">
        <f t="shared" ref="F605:G605" si="47">(F603*100/F593)-70</f>
        <v>-2.6934782608695684</v>
      </c>
      <c r="G605" s="586">
        <f t="shared" si="47"/>
        <v>1.4733681462140993</v>
      </c>
      <c r="H605" s="2487">
        <f>(H603*100/H593)-70</f>
        <v>-0.14301470588235077</v>
      </c>
      <c r="I605" s="2324"/>
      <c r="J605" s="2325"/>
      <c r="K605" s="3"/>
    </row>
    <row r="606" spans="2:11">
      <c r="E606" s="194"/>
      <c r="F606" s="194"/>
      <c r="G606" s="194"/>
      <c r="K606" s="3"/>
    </row>
    <row r="607" spans="2:11">
      <c r="D607" s="5" t="s">
        <v>286</v>
      </c>
      <c r="K607" s="3"/>
    </row>
    <row r="608" spans="2:11">
      <c r="B608" s="19" t="s">
        <v>956</v>
      </c>
      <c r="D608"/>
      <c r="E608"/>
      <c r="I608"/>
      <c r="J608"/>
      <c r="K608" s="3"/>
    </row>
    <row r="609" spans="2:11">
      <c r="C609" s="19" t="s">
        <v>282</v>
      </c>
      <c r="E609"/>
      <c r="F609"/>
      <c r="G609" s="19"/>
      <c r="H609" s="19"/>
      <c r="I609" s="13"/>
      <c r="J609" s="13"/>
      <c r="K609" s="3"/>
    </row>
    <row r="610" spans="2:11" ht="15.75">
      <c r="B610" s="20" t="s">
        <v>510</v>
      </c>
      <c r="C610" s="13"/>
      <c r="D610"/>
      <c r="E610" s="20" t="s">
        <v>0</v>
      </c>
      <c r="F610"/>
      <c r="G610" s="2" t="s">
        <v>317</v>
      </c>
      <c r="H610" s="13"/>
      <c r="I610" s="13"/>
      <c r="J610" s="24"/>
      <c r="K610" s="3"/>
    </row>
    <row r="611" spans="2:11" ht="21.75" thickBot="1">
      <c r="D611" s="23" t="s">
        <v>364</v>
      </c>
      <c r="E611"/>
      <c r="F611"/>
      <c r="H611" s="19"/>
      <c r="I611" s="13"/>
      <c r="J611" s="13"/>
      <c r="K611" s="3"/>
    </row>
    <row r="612" spans="2:11" ht="15.75" thickBot="1">
      <c r="B612" s="524" t="s">
        <v>250</v>
      </c>
      <c r="C612" s="99"/>
      <c r="D612" s="525" t="s">
        <v>251</v>
      </c>
      <c r="E612" s="397" t="s">
        <v>252</v>
      </c>
      <c r="F612" s="397"/>
      <c r="G612" s="397"/>
      <c r="H612" s="526" t="s">
        <v>253</v>
      </c>
      <c r="I612" s="527" t="s">
        <v>254</v>
      </c>
      <c r="J612" s="528" t="s">
        <v>255</v>
      </c>
      <c r="K612" s="3"/>
    </row>
    <row r="613" spans="2:11">
      <c r="B613" s="529" t="s">
        <v>256</v>
      </c>
      <c r="C613" s="530" t="s">
        <v>257</v>
      </c>
      <c r="D613" s="531" t="s">
        <v>258</v>
      </c>
      <c r="E613" s="532" t="s">
        <v>259</v>
      </c>
      <c r="F613" s="532" t="s">
        <v>63</v>
      </c>
      <c r="G613" s="532" t="s">
        <v>64</v>
      </c>
      <c r="H613" s="533" t="s">
        <v>260</v>
      </c>
      <c r="I613" s="534" t="s">
        <v>261</v>
      </c>
      <c r="J613" s="535" t="s">
        <v>262</v>
      </c>
      <c r="K613" s="3"/>
    </row>
    <row r="614" spans="2:11" ht="15.75" thickBot="1">
      <c r="B614" s="536"/>
      <c r="C614" s="579"/>
      <c r="D614" s="537"/>
      <c r="E614" s="538" t="s">
        <v>6</v>
      </c>
      <c r="F614" s="538" t="s">
        <v>7</v>
      </c>
      <c r="G614" s="538" t="s">
        <v>8</v>
      </c>
      <c r="H614" s="539" t="s">
        <v>263</v>
      </c>
      <c r="I614" s="540" t="s">
        <v>264</v>
      </c>
      <c r="J614" s="541" t="s">
        <v>265</v>
      </c>
      <c r="K614" s="3"/>
    </row>
    <row r="615" spans="2:11">
      <c r="B615" s="99"/>
      <c r="C615" s="774" t="s">
        <v>199</v>
      </c>
      <c r="D615" s="543"/>
      <c r="E615" s="544"/>
      <c r="F615" s="545"/>
      <c r="G615" s="545"/>
      <c r="H615" s="775"/>
      <c r="I615" s="587"/>
      <c r="J615" s="548"/>
      <c r="K615" s="3"/>
    </row>
    <row r="616" spans="2:11">
      <c r="B616" s="550" t="s">
        <v>266</v>
      </c>
      <c r="C616" s="582" t="s">
        <v>380</v>
      </c>
      <c r="D616" s="561">
        <v>205</v>
      </c>
      <c r="E616" s="2411">
        <v>6.6879999999999997</v>
      </c>
      <c r="F616" s="1359">
        <v>3.9940000000000002</v>
      </c>
      <c r="G616" s="1359">
        <v>33.447000000000003</v>
      </c>
      <c r="H616" s="1384">
        <v>196.488</v>
      </c>
      <c r="I616" s="557">
        <v>27</v>
      </c>
      <c r="J616" s="558" t="s">
        <v>195</v>
      </c>
      <c r="K616" s="3"/>
    </row>
    <row r="617" spans="2:11">
      <c r="B617" s="553" t="s">
        <v>500</v>
      </c>
      <c r="C617" s="594" t="s">
        <v>309</v>
      </c>
      <c r="D617" s="1296">
        <v>10</v>
      </c>
      <c r="E617" s="2392">
        <v>0.08</v>
      </c>
      <c r="F617" s="380">
        <v>7.25</v>
      </c>
      <c r="G617" s="380">
        <v>0.13</v>
      </c>
      <c r="H617" s="1384">
        <v>66</v>
      </c>
      <c r="I617" s="557">
        <v>9</v>
      </c>
      <c r="J617" s="584" t="s">
        <v>322</v>
      </c>
      <c r="K617" s="3"/>
    </row>
    <row r="618" spans="2:11" ht="15.75">
      <c r="B618" s="555" t="s">
        <v>13</v>
      </c>
      <c r="C618" s="241" t="s">
        <v>767</v>
      </c>
      <c r="D618" s="561">
        <v>20</v>
      </c>
      <c r="E618" s="2392">
        <v>4.6669999999999998</v>
      </c>
      <c r="F618" s="380">
        <v>5.8760000000000003</v>
      </c>
      <c r="G618" s="380">
        <v>0</v>
      </c>
      <c r="H618" s="1384">
        <v>71.471000000000004</v>
      </c>
      <c r="I618" s="562">
        <v>10</v>
      </c>
      <c r="J618" s="584" t="s">
        <v>625</v>
      </c>
      <c r="K618" s="3"/>
    </row>
    <row r="619" spans="2:11" ht="15.75">
      <c r="B619" s="555"/>
      <c r="C619" s="582" t="s">
        <v>1021</v>
      </c>
      <c r="D619" s="561">
        <v>200</v>
      </c>
      <c r="E619" s="2392">
        <v>6.1920000000000002</v>
      </c>
      <c r="F619" s="380">
        <v>4.9039999999999999</v>
      </c>
      <c r="G619" s="380">
        <v>12.817</v>
      </c>
      <c r="H619" s="2398">
        <v>120.172</v>
      </c>
      <c r="I619" s="219">
        <v>85</v>
      </c>
      <c r="J619" s="549" t="s">
        <v>1019</v>
      </c>
      <c r="K619" s="3"/>
    </row>
    <row r="620" spans="2:11">
      <c r="B620" s="559" t="s">
        <v>44</v>
      </c>
      <c r="C620" s="424" t="s">
        <v>11</v>
      </c>
      <c r="D620" s="561">
        <v>50</v>
      </c>
      <c r="E620" s="2392">
        <v>2.63</v>
      </c>
      <c r="F620" s="380">
        <v>0.35</v>
      </c>
      <c r="G620" s="380">
        <v>20.399999999999999</v>
      </c>
      <c r="H620" s="1384">
        <v>95.27</v>
      </c>
      <c r="I620" s="219">
        <v>11</v>
      </c>
      <c r="J620" s="558" t="s">
        <v>10</v>
      </c>
      <c r="K620" s="3"/>
    </row>
    <row r="621" spans="2:11">
      <c r="B621" s="89"/>
      <c r="C621" s="495" t="s">
        <v>792</v>
      </c>
      <c r="D621" s="551">
        <v>40</v>
      </c>
      <c r="E621" s="2392">
        <v>2.2599999999999998</v>
      </c>
      <c r="F621" s="380">
        <v>0.48</v>
      </c>
      <c r="G621" s="380">
        <v>16.739999999999998</v>
      </c>
      <c r="H621" s="1388">
        <v>80.319999999999993</v>
      </c>
      <c r="I621" s="589">
        <v>12</v>
      </c>
      <c r="J621" s="552" t="s">
        <v>10</v>
      </c>
      <c r="K621" s="3"/>
    </row>
    <row r="622" spans="2:11" ht="15.75" thickBot="1">
      <c r="B622" s="89"/>
      <c r="C622" s="563" t="s">
        <v>1005</v>
      </c>
      <c r="D622" s="574">
        <v>105</v>
      </c>
      <c r="E622" s="2421">
        <v>0.42</v>
      </c>
      <c r="F622" s="586">
        <v>0.42</v>
      </c>
      <c r="G622" s="586">
        <v>10.29</v>
      </c>
      <c r="H622" s="2488">
        <v>49.35</v>
      </c>
      <c r="I622" s="627">
        <v>73</v>
      </c>
      <c r="J622" s="549" t="s">
        <v>1004</v>
      </c>
      <c r="K622" s="3"/>
    </row>
    <row r="623" spans="2:11">
      <c r="B623" s="565" t="s">
        <v>283</v>
      </c>
      <c r="D623" s="169">
        <f>SUM(D616:D622)</f>
        <v>630</v>
      </c>
      <c r="E623" s="566">
        <f>SUM(E616:E622)</f>
        <v>22.936999999999998</v>
      </c>
      <c r="F623" s="1353">
        <f>SUM(F616:F622)</f>
        <v>23.274000000000004</v>
      </c>
      <c r="G623" s="567">
        <f>SUM(G616:G622)</f>
        <v>93.824000000000012</v>
      </c>
      <c r="H623" s="2486">
        <f>SUM(H616:H622)</f>
        <v>679.07100000000003</v>
      </c>
      <c r="I623" s="1286" t="s">
        <v>482</v>
      </c>
      <c r="J623" s="1020" t="s">
        <v>280</v>
      </c>
      <c r="K623" s="3"/>
    </row>
    <row r="624" spans="2:11">
      <c r="B624" s="513"/>
      <c r="C624" s="1368" t="s">
        <v>12</v>
      </c>
      <c r="D624" s="2320">
        <v>0.25</v>
      </c>
      <c r="E624" s="2349">
        <v>22.5</v>
      </c>
      <c r="F624" s="2350">
        <v>23</v>
      </c>
      <c r="G624" s="2327">
        <v>95.75</v>
      </c>
      <c r="H624" s="2328">
        <v>680</v>
      </c>
      <c r="I624" s="1030">
        <f>H624-H623</f>
        <v>0.92899999999997362</v>
      </c>
      <c r="J624" s="2314" t="s">
        <v>938</v>
      </c>
      <c r="K624" s="22"/>
    </row>
    <row r="625" spans="2:23" ht="15.75" thickBot="1">
      <c r="B625" s="237"/>
      <c r="C625" s="1347" t="s">
        <v>957</v>
      </c>
      <c r="D625" s="2323"/>
      <c r="E625" s="2421">
        <f>(E623*100/E648)-25</f>
        <v>0.4855555555555533</v>
      </c>
      <c r="F625" s="586">
        <f t="shared" ref="F625:H625" si="48">(F623*100/F648)-25</f>
        <v>0.29782608695652613</v>
      </c>
      <c r="G625" s="586">
        <f t="shared" si="48"/>
        <v>-0.50287206266318307</v>
      </c>
      <c r="H625" s="2487">
        <f t="shared" si="48"/>
        <v>-3.4154411764703241E-2</v>
      </c>
      <c r="I625" s="2324"/>
      <c r="J625" s="2325"/>
      <c r="K625" s="1029"/>
    </row>
    <row r="626" spans="2:23">
      <c r="B626" s="99"/>
      <c r="C626" s="163" t="s">
        <v>152</v>
      </c>
      <c r="D626" s="99"/>
      <c r="E626" s="194"/>
      <c r="F626" s="2447"/>
      <c r="G626" s="2447"/>
      <c r="H626" s="2447"/>
      <c r="I626" s="571"/>
      <c r="J626" s="571"/>
      <c r="K626" s="3"/>
    </row>
    <row r="627" spans="2:23">
      <c r="B627" s="89"/>
      <c r="C627" s="1297" t="s">
        <v>691</v>
      </c>
      <c r="D627" s="239">
        <v>60</v>
      </c>
      <c r="E627" s="2392">
        <v>1.7</v>
      </c>
      <c r="F627" s="380">
        <v>0.1</v>
      </c>
      <c r="G627" s="380">
        <v>3.5</v>
      </c>
      <c r="H627" s="1298">
        <v>22.1</v>
      </c>
      <c r="I627" s="219">
        <v>3</v>
      </c>
      <c r="J627" s="558" t="s">
        <v>692</v>
      </c>
      <c r="K627" s="3"/>
    </row>
    <row r="628" spans="2:23">
      <c r="B628" s="89"/>
      <c r="C628" s="241" t="s">
        <v>395</v>
      </c>
      <c r="D628" s="561">
        <v>60</v>
      </c>
      <c r="E628" s="2392">
        <v>5.4119999999999999</v>
      </c>
      <c r="F628" s="380">
        <v>7.9610000000000003</v>
      </c>
      <c r="G628" s="380">
        <v>9.6349999999999998</v>
      </c>
      <c r="H628" s="1384">
        <v>131.83699999999999</v>
      </c>
      <c r="I628" s="219">
        <v>13</v>
      </c>
      <c r="J628" s="558" t="s">
        <v>10</v>
      </c>
      <c r="K628" s="3"/>
    </row>
    <row r="629" spans="2:23">
      <c r="B629" s="550" t="s">
        <v>266</v>
      </c>
      <c r="C629" s="591" t="s">
        <v>497</v>
      </c>
      <c r="D629" s="588">
        <v>250</v>
      </c>
      <c r="E629" s="2399">
        <v>2.3879999999999999</v>
      </c>
      <c r="F629" s="1294">
        <v>1.627</v>
      </c>
      <c r="G629" s="1294">
        <v>24.55</v>
      </c>
      <c r="H629" s="1384">
        <v>122.395</v>
      </c>
      <c r="I629" s="776">
        <v>22</v>
      </c>
      <c r="J629" s="549" t="s">
        <v>816</v>
      </c>
      <c r="K629" s="3"/>
    </row>
    <row r="630" spans="2:23">
      <c r="B630" s="553" t="s">
        <v>500</v>
      </c>
      <c r="C630" s="599" t="s">
        <v>498</v>
      </c>
      <c r="D630" s="551">
        <v>100</v>
      </c>
      <c r="E630" s="386">
        <v>9.2799999999999994</v>
      </c>
      <c r="F630" s="380">
        <v>10.32</v>
      </c>
      <c r="G630" s="387">
        <v>11.98</v>
      </c>
      <c r="H630" s="1384">
        <v>177.92</v>
      </c>
      <c r="I630" s="580">
        <v>50</v>
      </c>
      <c r="J630" s="552" t="s">
        <v>20</v>
      </c>
      <c r="K630" s="3"/>
      <c r="P630" s="44"/>
      <c r="Q630" s="789"/>
    </row>
    <row r="631" spans="2:23" ht="15.75">
      <c r="B631" s="555" t="s">
        <v>13</v>
      </c>
      <c r="C631" s="283" t="s">
        <v>386</v>
      </c>
      <c r="D631" s="551" t="s">
        <v>646</v>
      </c>
      <c r="E631" s="2414">
        <v>7.7220000000000004</v>
      </c>
      <c r="F631" s="381">
        <v>11.462</v>
      </c>
      <c r="G631" s="2415">
        <v>36.591000000000001</v>
      </c>
      <c r="H631" s="1388">
        <v>280.41000000000003</v>
      </c>
      <c r="I631" s="589">
        <v>35</v>
      </c>
      <c r="J631" s="1521" t="s">
        <v>804</v>
      </c>
      <c r="P631" s="44"/>
      <c r="Q631" s="789"/>
    </row>
    <row r="632" spans="2:23" ht="15.75">
      <c r="B632" s="555"/>
      <c r="C632" s="167" t="s">
        <v>591</v>
      </c>
      <c r="D632" s="590"/>
      <c r="E632" s="1534"/>
      <c r="F632" s="2444"/>
      <c r="G632" s="147"/>
      <c r="H632" s="1466"/>
      <c r="I632" s="593"/>
      <c r="J632" s="781"/>
      <c r="K632" s="3"/>
      <c r="P632" s="4"/>
    </row>
    <row r="633" spans="2:23">
      <c r="B633" s="559" t="s">
        <v>44</v>
      </c>
      <c r="C633" s="424" t="s">
        <v>219</v>
      </c>
      <c r="D633" s="561">
        <v>200</v>
      </c>
      <c r="E633" s="2392">
        <v>0.5</v>
      </c>
      <c r="F633" s="380">
        <v>0</v>
      </c>
      <c r="G633" s="380">
        <v>19.8</v>
      </c>
      <c r="H633" s="1384">
        <v>81</v>
      </c>
      <c r="I633" s="562">
        <v>78</v>
      </c>
      <c r="J633" s="558" t="s">
        <v>637</v>
      </c>
      <c r="K633" s="3"/>
      <c r="P633" s="9"/>
      <c r="Q633" s="9"/>
      <c r="R633" s="44"/>
      <c r="S633" s="44"/>
      <c r="T633" s="44"/>
      <c r="U633" s="111"/>
      <c r="V633" s="3"/>
      <c r="W633" s="791"/>
    </row>
    <row r="634" spans="2:23">
      <c r="B634" s="89"/>
      <c r="C634" s="424" t="s">
        <v>11</v>
      </c>
      <c r="D634" s="561">
        <v>40</v>
      </c>
      <c r="E634" s="2392">
        <v>2.1070000000000002</v>
      </c>
      <c r="F634" s="380">
        <v>0.28000000000000003</v>
      </c>
      <c r="G634" s="380">
        <v>16.32</v>
      </c>
      <c r="H634" s="1384">
        <v>76.227999999999994</v>
      </c>
      <c r="I634" s="562">
        <v>11</v>
      </c>
      <c r="J634" s="558" t="s">
        <v>10</v>
      </c>
      <c r="K634" s="3"/>
      <c r="P634" s="4"/>
      <c r="Q634" s="9"/>
      <c r="R634" s="44"/>
      <c r="S634" s="44"/>
      <c r="T634" s="44"/>
      <c r="U634" s="789"/>
      <c r="V634" s="3"/>
      <c r="W634" s="721"/>
    </row>
    <row r="635" spans="2:23" ht="15.75" thickBot="1">
      <c r="B635" s="89"/>
      <c r="C635" s="424" t="s">
        <v>792</v>
      </c>
      <c r="D635" s="574">
        <v>30</v>
      </c>
      <c r="E635" s="2392">
        <v>1.6950000000000001</v>
      </c>
      <c r="F635" s="380">
        <v>0.36</v>
      </c>
      <c r="G635" s="380">
        <v>12.56</v>
      </c>
      <c r="H635" s="1298">
        <v>60.26</v>
      </c>
      <c r="I635" s="1299">
        <v>12</v>
      </c>
      <c r="J635" s="552" t="s">
        <v>10</v>
      </c>
      <c r="K635" s="22"/>
      <c r="S635" s="44"/>
      <c r="T635" s="44"/>
      <c r="U635" s="789"/>
      <c r="V635" s="722"/>
      <c r="W635" s="721"/>
    </row>
    <row r="636" spans="2:23">
      <c r="B636" s="565" t="s">
        <v>269</v>
      </c>
      <c r="C636" s="34"/>
      <c r="D636" s="169">
        <f>D627+D628+D629+D630+D633+D634+D635+155+35</f>
        <v>930</v>
      </c>
      <c r="E636" s="575">
        <f>SUM(E627:E635)</f>
        <v>30.804000000000002</v>
      </c>
      <c r="F636" s="1353">
        <f>SUM(F627:F635)</f>
        <v>32.110000000000007</v>
      </c>
      <c r="G636" s="576">
        <f>SUM(G627:G635)</f>
        <v>134.93600000000001</v>
      </c>
      <c r="H636" s="2486">
        <f>SUM(H627:H635)</f>
        <v>952.15</v>
      </c>
      <c r="I636" s="1286" t="s">
        <v>482</v>
      </c>
      <c r="J636" s="1020" t="s">
        <v>280</v>
      </c>
      <c r="K636" s="1029"/>
      <c r="P636" s="116"/>
      <c r="Q636" s="66"/>
      <c r="R636" s="222"/>
      <c r="S636" s="152"/>
      <c r="T636" s="44"/>
      <c r="U636" s="789"/>
      <c r="V636" s="3"/>
      <c r="W636" s="721"/>
    </row>
    <row r="637" spans="2:23">
      <c r="B637" s="513"/>
      <c r="C637" s="1368" t="s">
        <v>12</v>
      </c>
      <c r="D637" s="2320">
        <v>0.35</v>
      </c>
      <c r="E637" s="2349">
        <v>31.5</v>
      </c>
      <c r="F637" s="2350">
        <v>32.200000000000003</v>
      </c>
      <c r="G637" s="2327">
        <v>134.05000000000001</v>
      </c>
      <c r="H637" s="2328">
        <v>952</v>
      </c>
      <c r="I637" s="1030">
        <f>H637-H636</f>
        <v>-0.14999999999997726</v>
      </c>
      <c r="J637" s="2314" t="s">
        <v>938</v>
      </c>
      <c r="K637" s="3"/>
      <c r="P637" s="4"/>
      <c r="Q637" s="9"/>
      <c r="R637" s="153"/>
      <c r="S637" s="153"/>
      <c r="T637" s="153"/>
      <c r="U637" s="789"/>
      <c r="V637" s="722"/>
      <c r="W637" s="721"/>
    </row>
    <row r="638" spans="2:23" ht="15.75" thickBot="1">
      <c r="B638" s="237"/>
      <c r="C638" s="1347" t="s">
        <v>957</v>
      </c>
      <c r="D638" s="2323"/>
      <c r="E638" s="2421">
        <f>(E636*100/E648)-35</f>
        <v>-0.77333333333333343</v>
      </c>
      <c r="F638" s="586">
        <f t="shared" ref="F638:H638" si="49">(F636*100/F648)-35</f>
        <v>-9.7826086956516178E-2</v>
      </c>
      <c r="G638" s="586">
        <f t="shared" si="49"/>
        <v>0.23133159268929404</v>
      </c>
      <c r="H638" s="2487">
        <f t="shared" si="49"/>
        <v>5.514705882355031E-3</v>
      </c>
      <c r="I638" s="2324"/>
      <c r="J638" s="2325"/>
      <c r="K638" s="3"/>
      <c r="Q638" s="9"/>
      <c r="R638" s="44"/>
      <c r="S638" s="44"/>
      <c r="T638" s="44"/>
      <c r="U638" s="805"/>
      <c r="V638" s="722"/>
      <c r="W638" s="721"/>
    </row>
    <row r="639" spans="2:23">
      <c r="B639" s="550" t="s">
        <v>266</v>
      </c>
      <c r="C639" s="162" t="s">
        <v>324</v>
      </c>
      <c r="D639" s="99"/>
      <c r="E639" s="2446"/>
      <c r="F639" s="2447"/>
      <c r="G639" s="2447"/>
      <c r="H639" s="2497"/>
      <c r="I639" s="590"/>
      <c r="J639" s="590"/>
      <c r="K639" s="3"/>
      <c r="Q639" s="9"/>
      <c r="R639" s="44"/>
      <c r="S639" s="44"/>
      <c r="T639" s="44"/>
      <c r="U639" s="805"/>
      <c r="V639" s="815"/>
      <c r="W639" s="788"/>
    </row>
    <row r="640" spans="2:23">
      <c r="B640" s="553" t="s">
        <v>500</v>
      </c>
      <c r="C640" s="560" t="s">
        <v>151</v>
      </c>
      <c r="D640" s="561">
        <v>200</v>
      </c>
      <c r="E640" s="2392">
        <v>1</v>
      </c>
      <c r="F640" s="380">
        <v>0</v>
      </c>
      <c r="G640" s="380">
        <v>16.920000000000002</v>
      </c>
      <c r="H640" s="1384">
        <v>71.680000000000007</v>
      </c>
      <c r="I640" s="581">
        <v>76</v>
      </c>
      <c r="J640" s="558" t="s">
        <v>9</v>
      </c>
      <c r="K640" s="3"/>
      <c r="Q640" s="9"/>
      <c r="R640" s="44"/>
      <c r="S640" s="44"/>
      <c r="T640" s="44"/>
      <c r="U640" s="805"/>
      <c r="V640" s="722"/>
      <c r="W640" s="721"/>
    </row>
    <row r="641" spans="2:15" ht="15.75">
      <c r="B641" s="555" t="s">
        <v>13</v>
      </c>
      <c r="C641" s="990" t="s">
        <v>467</v>
      </c>
      <c r="D641" s="819" t="s">
        <v>543</v>
      </c>
      <c r="E641" s="1359">
        <v>5.1130000000000004</v>
      </c>
      <c r="F641" s="1359">
        <v>9.06</v>
      </c>
      <c r="G641" s="1359">
        <v>14.382999999999999</v>
      </c>
      <c r="H641" s="1298">
        <v>165.01</v>
      </c>
      <c r="I641" s="596">
        <v>52</v>
      </c>
      <c r="J641" s="1387" t="s">
        <v>817</v>
      </c>
      <c r="K641" s="22"/>
    </row>
    <row r="642" spans="2:15" ht="15.75" thickBot="1">
      <c r="B642" s="559" t="s">
        <v>44</v>
      </c>
      <c r="C642" s="573" t="s">
        <v>792</v>
      </c>
      <c r="D642" s="574">
        <v>20</v>
      </c>
      <c r="E642" s="2392">
        <v>1.1299999999999999</v>
      </c>
      <c r="F642" s="380">
        <v>0.24</v>
      </c>
      <c r="G642" s="380">
        <v>8.3699999999999992</v>
      </c>
      <c r="H642" s="1388">
        <v>40.159999999999997</v>
      </c>
      <c r="I642" s="589">
        <v>12</v>
      </c>
      <c r="J642" s="552" t="s">
        <v>10</v>
      </c>
      <c r="K642" s="624"/>
    </row>
    <row r="643" spans="2:15">
      <c r="B643" s="565" t="s">
        <v>357</v>
      </c>
      <c r="C643" s="34"/>
      <c r="D643" s="577">
        <f>D640+D642+100+30</f>
        <v>350</v>
      </c>
      <c r="E643" s="575">
        <f>SUM(E640:E642)</f>
        <v>7.2430000000000003</v>
      </c>
      <c r="F643" s="1353">
        <f>SUM(F640:F642)</f>
        <v>9.3000000000000007</v>
      </c>
      <c r="G643" s="576">
        <f>SUM(G640:G642)</f>
        <v>39.673000000000002</v>
      </c>
      <c r="H643" s="2486">
        <f>SUM(H640:H642)</f>
        <v>276.85000000000002</v>
      </c>
      <c r="I643" s="1286" t="s">
        <v>482</v>
      </c>
      <c r="J643" s="1020" t="s">
        <v>280</v>
      </c>
      <c r="K643" s="3"/>
    </row>
    <row r="644" spans="2:15">
      <c r="B644" s="1343"/>
      <c r="C644" s="1344" t="s">
        <v>12</v>
      </c>
      <c r="D644" s="2330">
        <v>0.1</v>
      </c>
      <c r="E644" s="2349">
        <v>9</v>
      </c>
      <c r="F644" s="2350">
        <v>9.1999999999999993</v>
      </c>
      <c r="G644" s="2327">
        <v>38.299999999999997</v>
      </c>
      <c r="H644" s="2328">
        <v>272</v>
      </c>
      <c r="I644" s="2574">
        <f>H644-H643</f>
        <v>-4.8500000000000227</v>
      </c>
      <c r="J644" s="2314" t="s">
        <v>938</v>
      </c>
      <c r="K644" s="3"/>
    </row>
    <row r="645" spans="2:15" ht="15.75" thickBot="1">
      <c r="B645" s="237"/>
      <c r="C645" s="1347" t="s">
        <v>957</v>
      </c>
      <c r="D645" s="2323"/>
      <c r="E645" s="2421">
        <f>(E643*100/E648)-10</f>
        <v>-1.9522222222222219</v>
      </c>
      <c r="F645" s="586">
        <f t="shared" ref="F645:G645" si="50">(F643*100/F648)-10</f>
        <v>0.10869565217391397</v>
      </c>
      <c r="G645" s="586">
        <f t="shared" si="50"/>
        <v>0.35848563968668401</v>
      </c>
      <c r="H645" s="2487">
        <f>(H643*100/H648)-10</f>
        <v>0.17830882352941302</v>
      </c>
      <c r="I645" s="2324"/>
      <c r="J645" s="2325"/>
      <c r="K645" s="3"/>
    </row>
    <row r="646" spans="2:15" ht="15.75" thickBot="1">
      <c r="E646" s="194"/>
      <c r="F646" s="194"/>
      <c r="G646" s="194"/>
      <c r="H646" s="194"/>
      <c r="K646" s="3"/>
    </row>
    <row r="647" spans="2:15" ht="13.5" customHeight="1">
      <c r="B647" s="2331"/>
      <c r="C647" s="2332"/>
      <c r="D647" s="2333"/>
      <c r="E647" s="2489" t="s">
        <v>6</v>
      </c>
      <c r="F647" s="2490" t="s">
        <v>7</v>
      </c>
      <c r="G647" s="2490" t="s">
        <v>8</v>
      </c>
      <c r="H647" s="2491" t="s">
        <v>958</v>
      </c>
      <c r="I647" s="2334"/>
      <c r="J647" s="2333"/>
      <c r="K647" s="3"/>
    </row>
    <row r="648" spans="2:15" ht="15" customHeight="1" thickBot="1">
      <c r="B648" s="2335"/>
      <c r="C648" s="2336" t="s">
        <v>959</v>
      </c>
      <c r="D648" s="2337">
        <v>1</v>
      </c>
      <c r="E648" s="2492">
        <v>90</v>
      </c>
      <c r="F648" s="2493">
        <v>92</v>
      </c>
      <c r="G648" s="2494">
        <v>383</v>
      </c>
      <c r="H648" s="2495">
        <v>2720</v>
      </c>
      <c r="I648" s="2338" t="s">
        <v>960</v>
      </c>
      <c r="J648" s="2339"/>
      <c r="K648" s="3"/>
    </row>
    <row r="649" spans="2:15" ht="15.75" thickBot="1">
      <c r="E649" s="194"/>
      <c r="F649" s="194"/>
      <c r="G649" s="194"/>
      <c r="H649" s="194"/>
      <c r="K649" s="3"/>
      <c r="O649" s="44"/>
    </row>
    <row r="650" spans="2:15">
      <c r="B650" s="1021"/>
      <c r="C650" s="34" t="s">
        <v>481</v>
      </c>
      <c r="D650" s="35"/>
      <c r="E650" s="145">
        <f>E623+E636</f>
        <v>53.741</v>
      </c>
      <c r="F650" s="243">
        <f>F623+F636</f>
        <v>55.384000000000015</v>
      </c>
      <c r="G650" s="243">
        <f>G623+G636</f>
        <v>228.76000000000002</v>
      </c>
      <c r="H650" s="1024">
        <f>H623+H636</f>
        <v>1631.221</v>
      </c>
      <c r="I650" s="1286" t="s">
        <v>482</v>
      </c>
      <c r="J650" s="1020" t="s">
        <v>280</v>
      </c>
      <c r="K650" s="3"/>
    </row>
    <row r="651" spans="2:15">
      <c r="B651" s="513"/>
      <c r="C651" s="1368" t="s">
        <v>12</v>
      </c>
      <c r="D651" s="2347">
        <v>0.6</v>
      </c>
      <c r="E651" s="2352">
        <v>54</v>
      </c>
      <c r="F651" s="2353">
        <v>55.2</v>
      </c>
      <c r="G651" s="2341">
        <v>229.8</v>
      </c>
      <c r="H651" s="2342">
        <v>1632</v>
      </c>
      <c r="I651" s="2343">
        <f>H651-H650</f>
        <v>0.77899999999999636</v>
      </c>
      <c r="J651" s="2314" t="s">
        <v>938</v>
      </c>
    </row>
    <row r="652" spans="2:15" ht="15.75" thickBot="1">
      <c r="B652" s="237"/>
      <c r="C652" s="1347" t="s">
        <v>957</v>
      </c>
      <c r="D652" s="2323"/>
      <c r="E652" s="2421">
        <f>(E650*100/E648)-60</f>
        <v>-0.28777777777777658</v>
      </c>
      <c r="F652" s="586">
        <f t="shared" ref="F652:G652" si="51">(F650*100/F648)-60</f>
        <v>0.20000000000001705</v>
      </c>
      <c r="G652" s="586">
        <f t="shared" si="51"/>
        <v>-0.27154046997387837</v>
      </c>
      <c r="H652" s="2487">
        <f>(H650*100/H648)-60</f>
        <v>-2.863970588234821E-2</v>
      </c>
      <c r="I652" s="2324"/>
      <c r="J652" s="2325"/>
      <c r="K652" s="3"/>
    </row>
    <row r="653" spans="2:15" ht="15.75" thickBot="1">
      <c r="E653" s="194"/>
      <c r="F653" s="194"/>
      <c r="G653" s="194"/>
      <c r="H653" s="194"/>
      <c r="K653" s="3"/>
    </row>
    <row r="654" spans="2:15">
      <c r="B654" s="1021"/>
      <c r="C654" s="34" t="s">
        <v>480</v>
      </c>
      <c r="D654" s="35"/>
      <c r="E654" s="145">
        <f>E636+E643</f>
        <v>38.047000000000004</v>
      </c>
      <c r="F654" s="243">
        <f>F636+F643</f>
        <v>41.410000000000011</v>
      </c>
      <c r="G654" s="243">
        <f>G636+G643</f>
        <v>174.60900000000001</v>
      </c>
      <c r="H654" s="1024">
        <f>H636+H643</f>
        <v>1229</v>
      </c>
      <c r="I654" s="1286" t="s">
        <v>482</v>
      </c>
      <c r="J654" s="1020" t="s">
        <v>280</v>
      </c>
      <c r="K654" s="3"/>
    </row>
    <row r="655" spans="2:15">
      <c r="B655" s="513"/>
      <c r="C655" s="1368" t="s">
        <v>12</v>
      </c>
      <c r="D655" s="2347">
        <v>0.45</v>
      </c>
      <c r="E655" s="2349">
        <v>40.5</v>
      </c>
      <c r="F655" s="2350">
        <v>41.4</v>
      </c>
      <c r="G655" s="2327">
        <v>172.35</v>
      </c>
      <c r="H655" s="2328">
        <v>1224</v>
      </c>
      <c r="I655" s="1030">
        <f>H655-H654</f>
        <v>-5</v>
      </c>
      <c r="J655" s="2314" t="s">
        <v>938</v>
      </c>
      <c r="K655" s="3"/>
    </row>
    <row r="656" spans="2:15" ht="15.75" thickBot="1">
      <c r="B656" s="237"/>
      <c r="C656" s="1347" t="s">
        <v>957</v>
      </c>
      <c r="D656" s="2323"/>
      <c r="E656" s="2421">
        <f>(E654*100/E648)-45</f>
        <v>-2.7255555555555517</v>
      </c>
      <c r="F656" s="586">
        <f t="shared" ref="F656:G656" si="52">(F654*100/F648)-45</f>
        <v>1.0869565217397792E-2</v>
      </c>
      <c r="G656" s="586">
        <f t="shared" si="52"/>
        <v>0.58981723237598516</v>
      </c>
      <c r="H656" s="2487">
        <f>(H654*100/H648)-45</f>
        <v>0.18382352941176805</v>
      </c>
      <c r="I656" s="2324"/>
      <c r="J656" s="2325"/>
      <c r="K656" s="3"/>
    </row>
    <row r="657" spans="2:11" ht="15.75" thickBot="1">
      <c r="E657" s="194"/>
      <c r="F657" s="194"/>
      <c r="G657" s="194"/>
      <c r="H657" s="194"/>
      <c r="K657" s="3"/>
    </row>
    <row r="658" spans="2:11">
      <c r="B658" s="1021"/>
      <c r="C658" s="34" t="s">
        <v>358</v>
      </c>
      <c r="D658" s="35"/>
      <c r="E658" s="149">
        <f>E623+E636+E643</f>
        <v>60.984000000000002</v>
      </c>
      <c r="F658" s="109">
        <f>F623+F636+F643</f>
        <v>64.684000000000012</v>
      </c>
      <c r="G658" s="109">
        <f>G623+G636+G643</f>
        <v>268.43299999999999</v>
      </c>
      <c r="H658" s="244">
        <f>H623+H636+H643</f>
        <v>1908.0709999999999</v>
      </c>
      <c r="I658" s="1286" t="s">
        <v>482</v>
      </c>
      <c r="J658" s="1020" t="s">
        <v>280</v>
      </c>
      <c r="K658" s="3"/>
    </row>
    <row r="659" spans="2:11" ht="13.5" customHeight="1">
      <c r="B659" s="513"/>
      <c r="C659" s="1368" t="s">
        <v>12</v>
      </c>
      <c r="D659" s="2347">
        <v>0.7</v>
      </c>
      <c r="E659" s="2349">
        <v>63</v>
      </c>
      <c r="F659" s="2350">
        <v>64.400000000000006</v>
      </c>
      <c r="G659" s="2327">
        <v>268.10000000000002</v>
      </c>
      <c r="H659" s="2328">
        <v>1904</v>
      </c>
      <c r="I659" s="2344">
        <f>H659-H658</f>
        <v>-4.0709999999999127</v>
      </c>
      <c r="J659" s="2314" t="s">
        <v>938</v>
      </c>
      <c r="K659" s="3"/>
    </row>
    <row r="660" spans="2:11" ht="12" customHeight="1" thickBot="1">
      <c r="B660" s="237"/>
      <c r="C660" s="1347" t="s">
        <v>957</v>
      </c>
      <c r="D660" s="2323"/>
      <c r="E660" s="2421">
        <f>(E658*100/E648)-70</f>
        <v>-2.2399999999999949</v>
      </c>
      <c r="F660" s="586">
        <f t="shared" ref="F660:G660" si="53">(F658*100/F648)-70</f>
        <v>0.30869565217392392</v>
      </c>
      <c r="G660" s="586">
        <f t="shared" si="53"/>
        <v>8.6945169712791426E-2</v>
      </c>
      <c r="H660" s="2487">
        <f>(H658*100/H648)-70</f>
        <v>0.1496691176470506</v>
      </c>
      <c r="I660" s="2324"/>
      <c r="J660" s="2325"/>
      <c r="K660" s="3"/>
    </row>
    <row r="661" spans="2:11" ht="11.25" customHeight="1">
      <c r="E661" s="194"/>
      <c r="F661" s="194"/>
      <c r="G661" s="194"/>
      <c r="H661" s="194"/>
      <c r="K661" s="3"/>
    </row>
    <row r="662" spans="2:11" ht="17.25" customHeight="1">
      <c r="D662" s="5" t="s">
        <v>286</v>
      </c>
      <c r="E662" s="194"/>
      <c r="F662" s="194"/>
      <c r="G662" s="194"/>
      <c r="H662" s="194"/>
      <c r="K662" s="3"/>
    </row>
    <row r="663" spans="2:11" ht="19.5" customHeight="1">
      <c r="B663" s="19" t="s">
        <v>956</v>
      </c>
      <c r="D663"/>
      <c r="E663" s="207"/>
      <c r="F663" s="194"/>
      <c r="G663" s="194"/>
      <c r="H663" s="194"/>
      <c r="I663"/>
      <c r="J663"/>
      <c r="K663" s="3"/>
    </row>
    <row r="664" spans="2:11" ht="17.25" customHeight="1">
      <c r="C664" s="19" t="s">
        <v>282</v>
      </c>
      <c r="E664" s="207"/>
      <c r="F664" s="207"/>
      <c r="G664" s="2504"/>
      <c r="H664" s="2504"/>
      <c r="I664" s="13"/>
      <c r="J664" s="13"/>
      <c r="K664" s="3"/>
    </row>
    <row r="665" spans="2:11" ht="18" customHeight="1">
      <c r="B665" s="20" t="s">
        <v>510</v>
      </c>
      <c r="C665" s="13"/>
      <c r="D665"/>
      <c r="E665" s="363" t="s">
        <v>0</v>
      </c>
      <c r="F665" s="207"/>
      <c r="G665" s="2505" t="s">
        <v>317</v>
      </c>
      <c r="H665" s="2506"/>
      <c r="I665" s="13"/>
      <c r="J665" s="24"/>
      <c r="K665" s="3"/>
    </row>
    <row r="666" spans="2:11" ht="18.75" customHeight="1">
      <c r="D666" s="23" t="s">
        <v>364</v>
      </c>
      <c r="E666" s="207"/>
      <c r="F666" s="207"/>
      <c r="G666" s="194"/>
      <c r="H666" s="2504"/>
      <c r="I666" s="13"/>
      <c r="J666" s="13"/>
      <c r="K666" s="3"/>
    </row>
    <row r="667" spans="2:11" ht="12" customHeight="1" thickBot="1">
      <c r="C667" s="1"/>
      <c r="E667" s="194"/>
      <c r="F667" s="194"/>
      <c r="G667" s="194"/>
      <c r="H667" s="194"/>
      <c r="K667" s="3"/>
    </row>
    <row r="668" spans="2:11" ht="15.75" thickBot="1">
      <c r="B668" s="524" t="s">
        <v>250</v>
      </c>
      <c r="C668" s="99"/>
      <c r="D668" s="525" t="s">
        <v>251</v>
      </c>
      <c r="E668" s="2507" t="s">
        <v>252</v>
      </c>
      <c r="F668" s="2507"/>
      <c r="G668" s="2507"/>
      <c r="H668" s="2508" t="s">
        <v>253</v>
      </c>
      <c r="I668" s="527" t="s">
        <v>254</v>
      </c>
      <c r="J668" s="528" t="s">
        <v>255</v>
      </c>
      <c r="K668" s="3"/>
    </row>
    <row r="669" spans="2:11">
      <c r="B669" s="529" t="s">
        <v>256</v>
      </c>
      <c r="C669" s="530" t="s">
        <v>257</v>
      </c>
      <c r="D669" s="531" t="s">
        <v>258</v>
      </c>
      <c r="E669" s="2509" t="s">
        <v>259</v>
      </c>
      <c r="F669" s="2509" t="s">
        <v>63</v>
      </c>
      <c r="G669" s="2509" t="s">
        <v>64</v>
      </c>
      <c r="H669" s="2510" t="s">
        <v>260</v>
      </c>
      <c r="I669" s="534" t="s">
        <v>261</v>
      </c>
      <c r="J669" s="535" t="s">
        <v>262</v>
      </c>
      <c r="K669" s="3"/>
    </row>
    <row r="670" spans="2:11" ht="15.75" thickBot="1">
      <c r="B670" s="536"/>
      <c r="C670" s="579"/>
      <c r="D670" s="537"/>
      <c r="E670" s="2511" t="s">
        <v>6</v>
      </c>
      <c r="F670" s="2511" t="s">
        <v>7</v>
      </c>
      <c r="G670" s="2511" t="s">
        <v>8</v>
      </c>
      <c r="H670" s="2512" t="s">
        <v>263</v>
      </c>
      <c r="I670" s="540" t="s">
        <v>264</v>
      </c>
      <c r="J670" s="541" t="s">
        <v>265</v>
      </c>
      <c r="K670" s="3"/>
    </row>
    <row r="671" spans="2:11" ht="19.5" customHeight="1">
      <c r="B671" s="99"/>
      <c r="C671" s="774" t="s">
        <v>199</v>
      </c>
      <c r="D671" s="543"/>
      <c r="E671" s="2515"/>
      <c r="F671" s="2466"/>
      <c r="G671" s="2466"/>
      <c r="H671" s="546"/>
      <c r="I671" s="587"/>
      <c r="J671" s="548"/>
      <c r="K671" s="3"/>
    </row>
    <row r="672" spans="2:11" ht="15.75" customHeight="1">
      <c r="B672" s="550" t="s">
        <v>266</v>
      </c>
      <c r="C672" s="582" t="s">
        <v>363</v>
      </c>
      <c r="D672" s="561">
        <v>60</v>
      </c>
      <c r="E672" s="2392">
        <v>0.5</v>
      </c>
      <c r="F672" s="380">
        <v>0.1</v>
      </c>
      <c r="G672" s="380">
        <v>1.5</v>
      </c>
      <c r="H672" s="1384">
        <v>8.5</v>
      </c>
      <c r="I672" s="557">
        <v>1</v>
      </c>
      <c r="J672" s="644" t="s">
        <v>687</v>
      </c>
      <c r="K672" s="3"/>
    </row>
    <row r="673" spans="2:11">
      <c r="B673" s="553" t="s">
        <v>500</v>
      </c>
      <c r="C673" s="556" t="s">
        <v>187</v>
      </c>
      <c r="D673" s="561">
        <v>210</v>
      </c>
      <c r="E673" s="2392">
        <v>15.113</v>
      </c>
      <c r="F673" s="380">
        <v>21.995000000000001</v>
      </c>
      <c r="G673" s="380">
        <v>45.219000000000001</v>
      </c>
      <c r="H673" s="1384">
        <v>439.28300000000002</v>
      </c>
      <c r="I673" s="580">
        <v>59</v>
      </c>
      <c r="J673" s="558" t="s">
        <v>186</v>
      </c>
      <c r="K673" s="3"/>
    </row>
    <row r="674" spans="2:11" ht="15.75">
      <c r="B674" s="555" t="s">
        <v>13</v>
      </c>
      <c r="C674" s="595" t="s">
        <v>593</v>
      </c>
      <c r="D674" s="429">
        <v>200</v>
      </c>
      <c r="E674" s="2392">
        <v>0.3</v>
      </c>
      <c r="F674" s="380">
        <v>0</v>
      </c>
      <c r="G674" s="380">
        <v>6.7</v>
      </c>
      <c r="H674" s="1384">
        <v>27.9</v>
      </c>
      <c r="I674" s="557">
        <v>92</v>
      </c>
      <c r="J674" s="558" t="s">
        <v>653</v>
      </c>
      <c r="K674" s="3"/>
    </row>
    <row r="675" spans="2:11" ht="12.75" customHeight="1">
      <c r="B675" s="559" t="s">
        <v>772</v>
      </c>
      <c r="C675" s="556" t="s">
        <v>11</v>
      </c>
      <c r="D675" s="561">
        <v>70</v>
      </c>
      <c r="E675" s="2392">
        <v>3.6880000000000002</v>
      </c>
      <c r="F675" s="380">
        <v>0.49</v>
      </c>
      <c r="G675" s="380">
        <v>26.56</v>
      </c>
      <c r="H675" s="1384">
        <v>125.402</v>
      </c>
      <c r="I675" s="562">
        <v>11</v>
      </c>
      <c r="J675" s="558" t="s">
        <v>10</v>
      </c>
      <c r="K675" s="3"/>
    </row>
    <row r="676" spans="2:11" ht="14.25" customHeight="1" thickBot="1">
      <c r="B676" s="559"/>
      <c r="C676" s="563" t="s">
        <v>792</v>
      </c>
      <c r="D676" s="574">
        <v>40</v>
      </c>
      <c r="E676" s="2392">
        <v>2.2599999999999998</v>
      </c>
      <c r="F676" s="380">
        <v>0.48</v>
      </c>
      <c r="G676" s="380">
        <v>16.739999999999998</v>
      </c>
      <c r="H676" s="1388">
        <v>80.319999999999993</v>
      </c>
      <c r="I676" s="572">
        <v>12</v>
      </c>
      <c r="J676" s="552" t="s">
        <v>10</v>
      </c>
      <c r="K676" s="3"/>
    </row>
    <row r="677" spans="2:11">
      <c r="B677" s="565" t="s">
        <v>283</v>
      </c>
      <c r="D677" s="169">
        <f>SUM(D672:D676)</f>
        <v>580</v>
      </c>
      <c r="E677" s="566">
        <f>SUM(E672:E676)</f>
        <v>21.860999999999997</v>
      </c>
      <c r="F677" s="1353">
        <f>SUM(F672:F676)</f>
        <v>23.065000000000001</v>
      </c>
      <c r="G677" s="567">
        <f>SUM(G672:G676)</f>
        <v>96.718999999999994</v>
      </c>
      <c r="H677" s="2486">
        <f>SUM(H672:H676)</f>
        <v>681.40499999999997</v>
      </c>
      <c r="I677" s="1286" t="s">
        <v>482</v>
      </c>
      <c r="J677" s="1020" t="s">
        <v>280</v>
      </c>
      <c r="K677" s="3"/>
    </row>
    <row r="678" spans="2:11" ht="14.25" customHeight="1">
      <c r="B678" s="513"/>
      <c r="C678" s="1368" t="s">
        <v>12</v>
      </c>
      <c r="D678" s="2320">
        <v>0.25</v>
      </c>
      <c r="E678" s="2349">
        <v>22.5</v>
      </c>
      <c r="F678" s="2350">
        <v>23</v>
      </c>
      <c r="G678" s="2327">
        <v>95.75</v>
      </c>
      <c r="H678" s="2328">
        <v>680</v>
      </c>
      <c r="I678" s="1030">
        <f>H678-H677</f>
        <v>-1.4049999999999727</v>
      </c>
      <c r="J678" s="2314" t="s">
        <v>938</v>
      </c>
      <c r="K678" s="3"/>
    </row>
    <row r="679" spans="2:11" ht="17.25" customHeight="1" thickBot="1">
      <c r="B679" s="237"/>
      <c r="C679" s="1347" t="s">
        <v>957</v>
      </c>
      <c r="D679" s="2323"/>
      <c r="E679" s="2421">
        <f>(E677*100/E701)-25</f>
        <v>-0.71000000000000085</v>
      </c>
      <c r="F679" s="586">
        <f t="shared" ref="F679:H679" si="54">(F677*100/F701)-25</f>
        <v>7.0652173913043015E-2</v>
      </c>
      <c r="G679" s="586">
        <f t="shared" si="54"/>
        <v>0.25300261096605681</v>
      </c>
      <c r="H679" s="2487">
        <f t="shared" si="54"/>
        <v>5.1654411764705088E-2</v>
      </c>
      <c r="I679" s="2324"/>
      <c r="J679" s="2325"/>
      <c r="K679" s="3"/>
    </row>
    <row r="680" spans="2:11" ht="15" customHeight="1">
      <c r="B680" s="99"/>
      <c r="C680" s="600" t="s">
        <v>152</v>
      </c>
      <c r="D680" s="99"/>
      <c r="E680" s="194"/>
      <c r="F680" s="2447"/>
      <c r="G680" s="2447"/>
      <c r="H680" s="2447"/>
      <c r="I680" s="571"/>
      <c r="J680" s="1043"/>
      <c r="K680" s="3"/>
    </row>
    <row r="681" spans="2:11" ht="14.25" customHeight="1">
      <c r="B681" s="89"/>
      <c r="C681" s="582" t="s">
        <v>375</v>
      </c>
      <c r="D681" s="561">
        <v>60</v>
      </c>
      <c r="E681" s="2392">
        <v>0.7</v>
      </c>
      <c r="F681" s="380">
        <v>0.1</v>
      </c>
      <c r="G681" s="380">
        <v>2.2999999999999998</v>
      </c>
      <c r="H681" s="1384">
        <v>12.8</v>
      </c>
      <c r="I681" s="557">
        <v>2</v>
      </c>
      <c r="J681" s="644" t="s">
        <v>645</v>
      </c>
      <c r="K681" s="3"/>
    </row>
    <row r="682" spans="2:11">
      <c r="B682" s="89"/>
      <c r="C682" s="595" t="s">
        <v>499</v>
      </c>
      <c r="D682" s="551">
        <v>250</v>
      </c>
      <c r="E682" s="2415">
        <v>4.9509999999999996</v>
      </c>
      <c r="F682" s="381">
        <v>5.75</v>
      </c>
      <c r="G682" s="2415">
        <v>4.1509999999999998</v>
      </c>
      <c r="H682" s="1388">
        <v>88.158000000000001</v>
      </c>
      <c r="I682" s="589">
        <v>16</v>
      </c>
      <c r="J682" s="552" t="s">
        <v>838</v>
      </c>
      <c r="K682" s="3"/>
    </row>
    <row r="683" spans="2:11">
      <c r="B683" s="550" t="s">
        <v>266</v>
      </c>
      <c r="C683" s="595" t="s">
        <v>693</v>
      </c>
      <c r="D683" s="1042" t="s">
        <v>384</v>
      </c>
      <c r="E683" s="2416">
        <v>11.13475</v>
      </c>
      <c r="F683" s="1359">
        <v>14.521000000000001</v>
      </c>
      <c r="G683" s="2498">
        <v>10.101000000000001</v>
      </c>
      <c r="H683" s="1384">
        <v>215.63200000000001</v>
      </c>
      <c r="I683" s="572">
        <v>70</v>
      </c>
      <c r="J683" s="552" t="s">
        <v>210</v>
      </c>
      <c r="K683" s="3"/>
    </row>
    <row r="684" spans="2:11" ht="12.75" customHeight="1">
      <c r="B684" s="553" t="s">
        <v>500</v>
      </c>
      <c r="C684" s="1041" t="s">
        <v>528</v>
      </c>
      <c r="D684" s="592">
        <v>180</v>
      </c>
      <c r="E684" s="2459">
        <v>1.8049999999999999</v>
      </c>
      <c r="F684" s="384">
        <v>4.9880000000000004</v>
      </c>
      <c r="G684" s="384">
        <v>35.194000000000003</v>
      </c>
      <c r="H684" s="1384">
        <v>192.88800000000001</v>
      </c>
      <c r="I684" s="557">
        <v>30</v>
      </c>
      <c r="J684" s="552" t="s">
        <v>333</v>
      </c>
      <c r="K684" s="3"/>
    </row>
    <row r="685" spans="2:11" ht="14.25" customHeight="1">
      <c r="B685" s="555" t="s">
        <v>13</v>
      </c>
      <c r="C685" s="556" t="s">
        <v>339</v>
      </c>
      <c r="D685" s="561">
        <v>200</v>
      </c>
      <c r="E685" s="2392">
        <v>6.7290000000000001</v>
      </c>
      <c r="F685" s="380">
        <v>5.3179999999999996</v>
      </c>
      <c r="G685" s="380">
        <v>28.164999999999999</v>
      </c>
      <c r="H685" s="1384">
        <v>187.43799999999999</v>
      </c>
      <c r="I685" s="572">
        <v>87</v>
      </c>
      <c r="J685" s="549" t="s">
        <v>797</v>
      </c>
      <c r="K685" s="3"/>
    </row>
    <row r="686" spans="2:11">
      <c r="B686" s="559" t="s">
        <v>772</v>
      </c>
      <c r="C686" s="556" t="s">
        <v>11</v>
      </c>
      <c r="D686" s="561">
        <v>70</v>
      </c>
      <c r="E686" s="2392">
        <v>3.6880000000000002</v>
      </c>
      <c r="F686" s="380">
        <v>0.49</v>
      </c>
      <c r="G686" s="380">
        <v>26.56</v>
      </c>
      <c r="H686" s="1384">
        <v>125.402</v>
      </c>
      <c r="I686" s="562">
        <v>11</v>
      </c>
      <c r="J686" s="558" t="s">
        <v>10</v>
      </c>
      <c r="K686" s="3"/>
    </row>
    <row r="687" spans="2:11">
      <c r="B687" s="89"/>
      <c r="C687" s="556" t="s">
        <v>792</v>
      </c>
      <c r="D687" s="551">
        <v>40</v>
      </c>
      <c r="E687" s="2392">
        <v>2.2599999999999998</v>
      </c>
      <c r="F687" s="380">
        <v>0.48</v>
      </c>
      <c r="G687" s="380">
        <v>16.739999999999998</v>
      </c>
      <c r="H687" s="1384">
        <v>80.319999999999993</v>
      </c>
      <c r="I687" s="562">
        <v>12</v>
      </c>
      <c r="J687" s="558" t="s">
        <v>10</v>
      </c>
      <c r="K687" s="3"/>
    </row>
    <row r="688" spans="2:11" ht="15.75" thickBot="1">
      <c r="B688" s="871"/>
      <c r="C688" s="563" t="s">
        <v>1005</v>
      </c>
      <c r="D688" s="574">
        <v>110</v>
      </c>
      <c r="E688" s="2421">
        <v>0.44</v>
      </c>
      <c r="F688" s="586">
        <v>0.44</v>
      </c>
      <c r="G688" s="586">
        <v>10.78</v>
      </c>
      <c r="H688" s="2488">
        <v>51.7</v>
      </c>
      <c r="I688" s="627">
        <v>73</v>
      </c>
      <c r="J688" s="549" t="s">
        <v>1004</v>
      </c>
      <c r="K688" s="3"/>
    </row>
    <row r="689" spans="2:15">
      <c r="B689" s="565" t="s">
        <v>269</v>
      </c>
      <c r="C689" s="800"/>
      <c r="D689" s="2373">
        <f>D681+D682+D684+D685+D686+D687+D688+90+20</f>
        <v>1020</v>
      </c>
      <c r="E689" s="575">
        <f>SUM(E681:E688)</f>
        <v>31.707750000000001</v>
      </c>
      <c r="F689" s="1353">
        <f>SUM(F681:F688)</f>
        <v>32.086999999999996</v>
      </c>
      <c r="G689" s="576">
        <f>SUM(G681:G688)</f>
        <v>133.99099999999999</v>
      </c>
      <c r="H689" s="2486">
        <f>SUM(H681:H688)</f>
        <v>954.33800000000019</v>
      </c>
      <c r="I689" s="1286" t="s">
        <v>482</v>
      </c>
      <c r="J689" s="1020" t="s">
        <v>280</v>
      </c>
      <c r="K689" s="3"/>
    </row>
    <row r="690" spans="2:15" ht="13.5" customHeight="1">
      <c r="B690" s="513"/>
      <c r="C690" s="1368" t="s">
        <v>12</v>
      </c>
      <c r="D690" s="2320">
        <v>0.35</v>
      </c>
      <c r="E690" s="2349">
        <v>31.5</v>
      </c>
      <c r="F690" s="2350">
        <v>32.200000000000003</v>
      </c>
      <c r="G690" s="2327">
        <v>134.05000000000001</v>
      </c>
      <c r="H690" s="2328">
        <v>952</v>
      </c>
      <c r="I690" s="1030">
        <f>H690-H689</f>
        <v>-2.3380000000001928</v>
      </c>
      <c r="J690" s="2314" t="s">
        <v>938</v>
      </c>
      <c r="K690" s="3"/>
    </row>
    <row r="691" spans="2:15" ht="15.75" thickBot="1">
      <c r="B691" s="237"/>
      <c r="C691" s="1347" t="s">
        <v>957</v>
      </c>
      <c r="D691" s="2323"/>
      <c r="E691" s="2421">
        <f>(E689*100/E701)-35</f>
        <v>0.23083333333333655</v>
      </c>
      <c r="F691" s="586">
        <f t="shared" ref="F691:H691" si="55">(F689*100/F701)-35</f>
        <v>-0.12282608695652186</v>
      </c>
      <c r="G691" s="586">
        <f t="shared" si="55"/>
        <v>-1.5404699738908789E-2</v>
      </c>
      <c r="H691" s="2487">
        <f t="shared" si="55"/>
        <v>8.5955882352948265E-2</v>
      </c>
      <c r="I691" s="2324"/>
      <c r="J691" s="2325"/>
      <c r="K691" s="3"/>
    </row>
    <row r="692" spans="2:15">
      <c r="B692" s="550" t="s">
        <v>266</v>
      </c>
      <c r="C692" s="832" t="s">
        <v>324</v>
      </c>
      <c r="D692" s="99"/>
      <c r="E692" s="2446"/>
      <c r="F692" s="2447"/>
      <c r="G692" s="2447"/>
      <c r="H692" s="2497"/>
      <c r="I692" s="571"/>
      <c r="J692" s="571"/>
      <c r="K692" s="3"/>
      <c r="O692" s="152"/>
    </row>
    <row r="693" spans="2:15" ht="15" customHeight="1">
      <c r="B693" s="553" t="s">
        <v>500</v>
      </c>
      <c r="C693" s="560" t="s">
        <v>491</v>
      </c>
      <c r="D693" s="561">
        <v>200</v>
      </c>
      <c r="E693" s="1359">
        <v>0.33300000000000002</v>
      </c>
      <c r="F693" s="1359">
        <v>0.13300000000000001</v>
      </c>
      <c r="G693" s="1359">
        <v>3.3420000000000001</v>
      </c>
      <c r="H693" s="1384">
        <v>15.897</v>
      </c>
      <c r="I693" s="557">
        <v>93</v>
      </c>
      <c r="J693" s="1272" t="s">
        <v>799</v>
      </c>
      <c r="K693" s="3"/>
      <c r="O693" s="152"/>
    </row>
    <row r="694" spans="2:15" ht="15.75" customHeight="1">
      <c r="B694" s="555" t="s">
        <v>13</v>
      </c>
      <c r="C694" s="390" t="s">
        <v>369</v>
      </c>
      <c r="D694" s="636" t="s">
        <v>779</v>
      </c>
      <c r="E694" s="152">
        <v>5.4402999999999997</v>
      </c>
      <c r="F694" s="2516">
        <v>10.212</v>
      </c>
      <c r="G694" s="152">
        <v>23.07</v>
      </c>
      <c r="H694" s="1466">
        <v>213.94200000000001</v>
      </c>
      <c r="I694" s="1039">
        <v>40</v>
      </c>
      <c r="J694" s="777" t="s">
        <v>999</v>
      </c>
      <c r="K694" s="3"/>
    </row>
    <row r="695" spans="2:15" ht="15.75" thickBot="1">
      <c r="B695" s="559" t="s">
        <v>772</v>
      </c>
      <c r="C695" s="573" t="s">
        <v>792</v>
      </c>
      <c r="D695" s="574">
        <v>20</v>
      </c>
      <c r="E695" s="2392">
        <v>1.1299999999999999</v>
      </c>
      <c r="F695" s="380">
        <v>0.24</v>
      </c>
      <c r="G695" s="380">
        <v>8.3699999999999992</v>
      </c>
      <c r="H695" s="1388">
        <v>40.159999999999997</v>
      </c>
      <c r="I695" s="562">
        <v>11</v>
      </c>
      <c r="J695" s="558" t="s">
        <v>10</v>
      </c>
      <c r="K695" s="3"/>
      <c r="O695" s="9"/>
    </row>
    <row r="696" spans="2:15" ht="14.25" customHeight="1">
      <c r="B696" s="565" t="s">
        <v>357</v>
      </c>
      <c r="C696" s="34"/>
      <c r="D696" s="577">
        <f>D693+135+45+D695</f>
        <v>400</v>
      </c>
      <c r="E696" s="575">
        <f>SUM(E693:E695)</f>
        <v>6.9032999999999998</v>
      </c>
      <c r="F696" s="1353">
        <f>SUM(F693:F695)</f>
        <v>10.584999999999999</v>
      </c>
      <c r="G696" s="576">
        <f>SUM(G693:G695)</f>
        <v>34.781999999999996</v>
      </c>
      <c r="H696" s="2486">
        <f>SUM(H693:H695)</f>
        <v>269.99900000000002</v>
      </c>
      <c r="I696" s="1286" t="s">
        <v>482</v>
      </c>
      <c r="J696" s="1020" t="s">
        <v>280</v>
      </c>
      <c r="K696" s="3"/>
    </row>
    <row r="697" spans="2:15">
      <c r="B697" s="513"/>
      <c r="C697" s="1368" t="s">
        <v>12</v>
      </c>
      <c r="D697" s="2347">
        <v>0.1</v>
      </c>
      <c r="E697" s="2349">
        <v>9</v>
      </c>
      <c r="F697" s="2350">
        <v>9.1999999999999993</v>
      </c>
      <c r="G697" s="2327">
        <v>38.299999999999997</v>
      </c>
      <c r="H697" s="2328">
        <v>272</v>
      </c>
      <c r="I697" s="2574">
        <f>H697-H696</f>
        <v>2.0009999999999764</v>
      </c>
      <c r="J697" s="2314" t="s">
        <v>938</v>
      </c>
      <c r="K697" s="3"/>
    </row>
    <row r="698" spans="2:15" ht="13.5" customHeight="1" thickBot="1">
      <c r="B698" s="237"/>
      <c r="C698" s="1347" t="s">
        <v>957</v>
      </c>
      <c r="D698" s="2323"/>
      <c r="E698" s="2421">
        <f>(E696*100/E701)-10</f>
        <v>-2.3296666666666672</v>
      </c>
      <c r="F698" s="586">
        <f t="shared" ref="F698:G698" si="56">(F696*100/F701)-10</f>
        <v>1.5054347826086953</v>
      </c>
      <c r="G698" s="586">
        <f t="shared" si="56"/>
        <v>-0.91853785900783258</v>
      </c>
      <c r="H698" s="2487">
        <f>(H696*100/H701)-10</f>
        <v>-7.3566176470587052E-2</v>
      </c>
      <c r="I698" s="2324"/>
      <c r="J698" s="2325"/>
      <c r="K698" s="3"/>
    </row>
    <row r="699" spans="2:15" ht="15.75" thickBot="1">
      <c r="E699" s="194"/>
      <c r="F699" s="194"/>
      <c r="G699" s="194"/>
      <c r="H699" s="194"/>
      <c r="K699" s="3"/>
    </row>
    <row r="700" spans="2:15" ht="15.75">
      <c r="B700" s="2331"/>
      <c r="C700" s="2332"/>
      <c r="D700" s="2333"/>
      <c r="E700" s="2489" t="s">
        <v>6</v>
      </c>
      <c r="F700" s="2490" t="s">
        <v>7</v>
      </c>
      <c r="G700" s="2490" t="s">
        <v>8</v>
      </c>
      <c r="H700" s="2491" t="s">
        <v>958</v>
      </c>
      <c r="I700" s="2334"/>
      <c r="J700" s="2333"/>
      <c r="K700" s="3"/>
    </row>
    <row r="701" spans="2:15" ht="14.25" customHeight="1" thickBot="1">
      <c r="B701" s="2335"/>
      <c r="C701" s="2336" t="s">
        <v>959</v>
      </c>
      <c r="D701" s="2337">
        <v>1</v>
      </c>
      <c r="E701" s="2492">
        <v>90</v>
      </c>
      <c r="F701" s="2493">
        <v>92</v>
      </c>
      <c r="G701" s="2494">
        <v>383</v>
      </c>
      <c r="H701" s="2495">
        <v>2720</v>
      </c>
      <c r="I701" s="2338" t="s">
        <v>960</v>
      </c>
      <c r="J701" s="2339"/>
      <c r="K701" s="3"/>
    </row>
    <row r="702" spans="2:15" ht="16.5" customHeight="1" thickBot="1">
      <c r="E702" s="194"/>
      <c r="F702" s="194"/>
      <c r="G702" s="194"/>
      <c r="H702" s="194"/>
      <c r="K702" s="3"/>
    </row>
    <row r="703" spans="2:15" ht="13.5" customHeight="1">
      <c r="B703" s="1021"/>
      <c r="C703" s="34" t="s">
        <v>481</v>
      </c>
      <c r="D703" s="35"/>
      <c r="E703" s="145">
        <f>E677+E689</f>
        <v>53.568749999999994</v>
      </c>
      <c r="F703" s="243">
        <f>F677+F689</f>
        <v>55.152000000000001</v>
      </c>
      <c r="G703" s="243">
        <f>G677+G689</f>
        <v>230.70999999999998</v>
      </c>
      <c r="H703" s="1024">
        <f>H677+H689</f>
        <v>1635.7430000000002</v>
      </c>
      <c r="I703" s="1286" t="s">
        <v>482</v>
      </c>
      <c r="J703" s="1020" t="s">
        <v>280</v>
      </c>
      <c r="K703" s="3"/>
    </row>
    <row r="704" spans="2:15">
      <c r="B704" s="513"/>
      <c r="C704" s="1368" t="s">
        <v>12</v>
      </c>
      <c r="D704" s="2347">
        <v>0.6</v>
      </c>
      <c r="E704" s="2352">
        <v>54</v>
      </c>
      <c r="F704" s="2353">
        <v>55.2</v>
      </c>
      <c r="G704" s="2341">
        <v>229.8</v>
      </c>
      <c r="H704" s="2342">
        <v>1632</v>
      </c>
      <c r="I704" s="2343">
        <f>H704-H703</f>
        <v>-3.7430000000001655</v>
      </c>
      <c r="J704" s="2314" t="s">
        <v>938</v>
      </c>
      <c r="K704" s="3"/>
    </row>
    <row r="705" spans="2:11" ht="17.25" customHeight="1" thickBot="1">
      <c r="B705" s="237"/>
      <c r="C705" s="1347" t="s">
        <v>957</v>
      </c>
      <c r="D705" s="2323"/>
      <c r="E705" s="2421">
        <f>(E703*100/E701)-60</f>
        <v>-0.47916666666667851</v>
      </c>
      <c r="F705" s="586">
        <f t="shared" ref="F705:G705" si="57">(F703*100/F701)-60</f>
        <v>-5.2173913043482401E-2</v>
      </c>
      <c r="G705" s="586">
        <f t="shared" si="57"/>
        <v>0.23759791122714802</v>
      </c>
      <c r="H705" s="2487">
        <f>(H703*100/H701)-60</f>
        <v>0.13761029411765691</v>
      </c>
      <c r="I705" s="2324"/>
      <c r="J705" s="2325"/>
      <c r="K705" s="3"/>
    </row>
    <row r="706" spans="2:11" ht="15.75" thickBot="1">
      <c r="E706" s="194"/>
      <c r="F706" s="194"/>
      <c r="G706" s="194"/>
      <c r="H706" s="194"/>
      <c r="K706" s="3"/>
    </row>
    <row r="707" spans="2:11" ht="12" customHeight="1">
      <c r="B707" s="1021"/>
      <c r="C707" s="34" t="s">
        <v>480</v>
      </c>
      <c r="D707" s="35"/>
      <c r="E707" s="145">
        <f>E689+E696</f>
        <v>38.611049999999999</v>
      </c>
      <c r="F707" s="243">
        <f>F689+F696</f>
        <v>42.671999999999997</v>
      </c>
      <c r="G707" s="243">
        <f>G689+G696</f>
        <v>168.77299999999997</v>
      </c>
      <c r="H707" s="1024">
        <f>H689+H696</f>
        <v>1224.3370000000002</v>
      </c>
      <c r="I707" s="1286" t="s">
        <v>482</v>
      </c>
      <c r="J707" s="1020" t="s">
        <v>280</v>
      </c>
      <c r="K707" s="3"/>
    </row>
    <row r="708" spans="2:11">
      <c r="B708" s="513"/>
      <c r="C708" s="1368" t="s">
        <v>12</v>
      </c>
      <c r="D708" s="2347">
        <v>0.45</v>
      </c>
      <c r="E708" s="2349">
        <v>40.5</v>
      </c>
      <c r="F708" s="2350">
        <v>41.4</v>
      </c>
      <c r="G708" s="2327">
        <v>172.35</v>
      </c>
      <c r="H708" s="2328">
        <v>1224</v>
      </c>
      <c r="I708" s="1030">
        <f>H708-H707</f>
        <v>-0.33700000000021646</v>
      </c>
      <c r="J708" s="2314" t="s">
        <v>938</v>
      </c>
      <c r="K708" s="3"/>
    </row>
    <row r="709" spans="2:11" ht="15.75" thickBot="1">
      <c r="B709" s="237"/>
      <c r="C709" s="1347" t="s">
        <v>957</v>
      </c>
      <c r="D709" s="2323"/>
      <c r="E709" s="2421">
        <f>(E707*100/E701)-45</f>
        <v>-2.0988333333333316</v>
      </c>
      <c r="F709" s="586">
        <f t="shared" ref="F709:G709" si="58">(F707*100/F701)-45</f>
        <v>1.3826086956521735</v>
      </c>
      <c r="G709" s="586">
        <f t="shared" si="58"/>
        <v>-0.93394255874675025</v>
      </c>
      <c r="H709" s="2487">
        <f>(H707*100/H701)-45</f>
        <v>1.2389705882362989E-2</v>
      </c>
      <c r="I709" s="2324"/>
      <c r="J709" s="2325"/>
      <c r="K709" s="3"/>
    </row>
    <row r="710" spans="2:11" ht="15.75" thickBot="1">
      <c r="E710" s="194"/>
      <c r="F710" s="194"/>
      <c r="G710" s="194"/>
      <c r="H710" s="194"/>
      <c r="K710" s="3"/>
    </row>
    <row r="711" spans="2:11" ht="14.25" customHeight="1">
      <c r="B711" s="1021"/>
      <c r="C711" s="34" t="s">
        <v>358</v>
      </c>
      <c r="D711" s="35"/>
      <c r="E711" s="149">
        <f>E677+E689+E696</f>
        <v>60.472049999999996</v>
      </c>
      <c r="F711" s="109">
        <f>F677+F689+F696</f>
        <v>65.736999999999995</v>
      </c>
      <c r="G711" s="109">
        <f>G677+G689+G696</f>
        <v>265.49199999999996</v>
      </c>
      <c r="H711" s="244">
        <f>H677+H689+H696</f>
        <v>1905.7420000000002</v>
      </c>
      <c r="I711" s="1286" t="s">
        <v>482</v>
      </c>
      <c r="J711" s="1020" t="s">
        <v>280</v>
      </c>
      <c r="K711" s="3"/>
    </row>
    <row r="712" spans="2:11" ht="14.25" customHeight="1">
      <c r="B712" s="513"/>
      <c r="C712" s="1368" t="s">
        <v>12</v>
      </c>
      <c r="D712" s="2347">
        <v>0.7</v>
      </c>
      <c r="E712" s="2349">
        <v>63</v>
      </c>
      <c r="F712" s="2350">
        <v>64.400000000000006</v>
      </c>
      <c r="G712" s="2327">
        <v>268.10000000000002</v>
      </c>
      <c r="H712" s="2328">
        <v>1904</v>
      </c>
      <c r="I712" s="2344">
        <f>H712-H711</f>
        <v>-1.7420000000001892</v>
      </c>
      <c r="J712" s="2314" t="s">
        <v>938</v>
      </c>
      <c r="K712" s="3"/>
    </row>
    <row r="713" spans="2:11" ht="15.75" thickBot="1">
      <c r="B713" s="237"/>
      <c r="C713" s="1347" t="s">
        <v>957</v>
      </c>
      <c r="D713" s="2323"/>
      <c r="E713" s="2421">
        <f>(E711*100/E701)-70</f>
        <v>-2.8088333333333395</v>
      </c>
      <c r="F713" s="586">
        <f t="shared" ref="F713:G713" si="59">(F711*100/F701)-70</f>
        <v>1.4532608695652129</v>
      </c>
      <c r="G713" s="586">
        <f t="shared" si="59"/>
        <v>-0.68093994778068634</v>
      </c>
      <c r="H713" s="2487">
        <f>(H711*100/H701)-70</f>
        <v>6.4044117647057419E-2</v>
      </c>
      <c r="I713" s="2324"/>
      <c r="J713" s="2325"/>
      <c r="K713" s="3"/>
    </row>
    <row r="714" spans="2:11">
      <c r="E714" s="152"/>
      <c r="F714" s="152"/>
      <c r="G714" s="152"/>
      <c r="H714" s="111"/>
      <c r="K714" s="3"/>
    </row>
    <row r="715" spans="2:11">
      <c r="E715" s="194"/>
      <c r="F715" s="194"/>
      <c r="G715" s="194"/>
      <c r="H715" s="194"/>
      <c r="K715" s="3"/>
    </row>
    <row r="716" spans="2:11" ht="13.5" customHeight="1">
      <c r="E716" s="194"/>
      <c r="F716" s="194"/>
      <c r="G716" s="194"/>
      <c r="H716" s="194"/>
      <c r="K716" s="3"/>
    </row>
    <row r="717" spans="2:11">
      <c r="D717" s="5" t="s">
        <v>286</v>
      </c>
      <c r="E717" s="194"/>
      <c r="F717" s="194"/>
      <c r="G717" s="194"/>
      <c r="H717" s="194"/>
      <c r="K717" s="3"/>
    </row>
    <row r="718" spans="2:11">
      <c r="B718" s="19" t="s">
        <v>956</v>
      </c>
      <c r="D718"/>
      <c r="E718" s="207"/>
      <c r="F718" s="194"/>
      <c r="G718" s="194"/>
      <c r="H718" s="194"/>
      <c r="I718"/>
      <c r="J718"/>
      <c r="K718" s="3"/>
    </row>
    <row r="719" spans="2:11">
      <c r="C719" s="19" t="s">
        <v>282</v>
      </c>
      <c r="E719" s="207"/>
      <c r="F719" s="207"/>
      <c r="G719" s="2504"/>
      <c r="H719" s="2504"/>
      <c r="I719" s="13"/>
      <c r="J719" s="13"/>
      <c r="K719" s="3"/>
    </row>
    <row r="720" spans="2:11" ht="15.75">
      <c r="B720" s="20" t="s">
        <v>510</v>
      </c>
      <c r="C720" s="13"/>
      <c r="D720"/>
      <c r="E720" s="363" t="s">
        <v>0</v>
      </c>
      <c r="F720" s="207"/>
      <c r="G720" s="2505" t="s">
        <v>317</v>
      </c>
      <c r="H720" s="2506"/>
      <c r="I720" s="13"/>
      <c r="J720" s="24"/>
      <c r="K720" s="3"/>
    </row>
    <row r="721" spans="2:11" ht="21.75" thickBot="1">
      <c r="D721" s="23" t="s">
        <v>364</v>
      </c>
      <c r="E721" s="207"/>
      <c r="F721" s="207"/>
      <c r="G721" s="194"/>
      <c r="H721" s="2504"/>
      <c r="I721" s="13"/>
      <c r="J721" s="13"/>
      <c r="K721" s="3"/>
    </row>
    <row r="722" spans="2:11" ht="15.75" thickBot="1">
      <c r="B722" s="524" t="s">
        <v>250</v>
      </c>
      <c r="C722" s="99"/>
      <c r="D722" s="525" t="s">
        <v>251</v>
      </c>
      <c r="E722" s="2507" t="s">
        <v>252</v>
      </c>
      <c r="F722" s="2507"/>
      <c r="G722" s="2507"/>
      <c r="H722" s="2508" t="s">
        <v>253</v>
      </c>
      <c r="I722" s="527" t="s">
        <v>254</v>
      </c>
      <c r="J722" s="528" t="s">
        <v>255</v>
      </c>
      <c r="K722" s="3"/>
    </row>
    <row r="723" spans="2:11">
      <c r="B723" s="529" t="s">
        <v>256</v>
      </c>
      <c r="C723" s="530" t="s">
        <v>257</v>
      </c>
      <c r="D723" s="531" t="s">
        <v>258</v>
      </c>
      <c r="E723" s="2509" t="s">
        <v>259</v>
      </c>
      <c r="F723" s="2509" t="s">
        <v>63</v>
      </c>
      <c r="G723" s="2509" t="s">
        <v>64</v>
      </c>
      <c r="H723" s="2510" t="s">
        <v>260</v>
      </c>
      <c r="I723" s="534" t="s">
        <v>261</v>
      </c>
      <c r="J723" s="535" t="s">
        <v>262</v>
      </c>
      <c r="K723" s="3"/>
    </row>
    <row r="724" spans="2:11" ht="14.25" customHeight="1" thickBot="1">
      <c r="B724" s="536"/>
      <c r="C724" s="579"/>
      <c r="D724" s="537"/>
      <c r="E724" s="2511" t="s">
        <v>6</v>
      </c>
      <c r="F724" s="2511" t="s">
        <v>7</v>
      </c>
      <c r="G724" s="2511" t="s">
        <v>8</v>
      </c>
      <c r="H724" s="2512" t="s">
        <v>263</v>
      </c>
      <c r="I724" s="540" t="s">
        <v>264</v>
      </c>
      <c r="J724" s="541" t="s">
        <v>265</v>
      </c>
      <c r="K724" s="3"/>
    </row>
    <row r="725" spans="2:11" ht="12" customHeight="1">
      <c r="B725" s="99"/>
      <c r="C725" s="774" t="s">
        <v>199</v>
      </c>
      <c r="D725" s="543"/>
      <c r="E725" s="2515"/>
      <c r="F725" s="2466"/>
      <c r="G725" s="2466"/>
      <c r="H725" s="546"/>
      <c r="I725" s="587"/>
      <c r="J725" s="548"/>
      <c r="K725" s="3"/>
    </row>
    <row r="726" spans="2:11" ht="12.75" customHeight="1">
      <c r="B726" s="550" t="s">
        <v>266</v>
      </c>
      <c r="C726" s="560" t="s">
        <v>375</v>
      </c>
      <c r="D726" s="561">
        <v>60</v>
      </c>
      <c r="E726" s="2392">
        <v>0.7</v>
      </c>
      <c r="F726" s="380">
        <v>0.1</v>
      </c>
      <c r="G726" s="380">
        <v>2.2999999999999998</v>
      </c>
      <c r="H726" s="1384">
        <v>12.8</v>
      </c>
      <c r="I726" s="557">
        <v>2</v>
      </c>
      <c r="J726" s="644" t="s">
        <v>645</v>
      </c>
      <c r="K726" s="3"/>
    </row>
    <row r="727" spans="2:11">
      <c r="B727" s="553" t="s">
        <v>500</v>
      </c>
      <c r="C727" s="993" t="s">
        <v>577</v>
      </c>
      <c r="D727" s="285">
        <v>100</v>
      </c>
      <c r="E727" s="2392">
        <v>12.67</v>
      </c>
      <c r="F727" s="380">
        <v>11.288</v>
      </c>
      <c r="G727" s="380">
        <v>20.285</v>
      </c>
      <c r="H727" s="1384">
        <v>233.41200000000001</v>
      </c>
      <c r="I727" s="557">
        <v>51</v>
      </c>
      <c r="J727" s="549" t="s">
        <v>578</v>
      </c>
      <c r="K727" s="3"/>
    </row>
    <row r="728" spans="2:11" ht="14.25" customHeight="1">
      <c r="B728" s="555" t="s">
        <v>13</v>
      </c>
      <c r="C728" s="1487" t="s">
        <v>780</v>
      </c>
      <c r="D728" s="551" t="s">
        <v>573</v>
      </c>
      <c r="E728" s="2414">
        <v>1.7</v>
      </c>
      <c r="F728" s="381">
        <v>4.54</v>
      </c>
      <c r="G728" s="2415">
        <v>16.899999999999999</v>
      </c>
      <c r="H728" s="1388">
        <v>115.26</v>
      </c>
      <c r="I728" s="589">
        <v>46</v>
      </c>
      <c r="J728" s="780" t="s">
        <v>574</v>
      </c>
      <c r="K728" s="3"/>
    </row>
    <row r="729" spans="2:11" ht="16.5" customHeight="1">
      <c r="B729" s="559"/>
      <c r="C729" s="1488" t="s">
        <v>781</v>
      </c>
      <c r="D729" s="590"/>
      <c r="E729" s="1534">
        <v>1.61</v>
      </c>
      <c r="F729" s="2444">
        <v>5.94</v>
      </c>
      <c r="G729" s="147">
        <v>13.4</v>
      </c>
      <c r="H729" s="1466">
        <v>112.13800000000001</v>
      </c>
      <c r="I729" s="593"/>
      <c r="J729" s="1489" t="s">
        <v>570</v>
      </c>
      <c r="K729" s="3"/>
    </row>
    <row r="730" spans="2:11" ht="13.5" customHeight="1">
      <c r="B730" s="559"/>
      <c r="C730" s="560" t="s">
        <v>151</v>
      </c>
      <c r="D730" s="561">
        <v>200</v>
      </c>
      <c r="E730" s="2392">
        <v>1</v>
      </c>
      <c r="F730" s="380">
        <v>0</v>
      </c>
      <c r="G730" s="380">
        <v>16.920000000000002</v>
      </c>
      <c r="H730" s="1384">
        <v>71.680000000000007</v>
      </c>
      <c r="I730" s="581">
        <v>76</v>
      </c>
      <c r="J730" s="558" t="s">
        <v>9</v>
      </c>
      <c r="K730" s="3"/>
    </row>
    <row r="731" spans="2:11">
      <c r="B731" s="559" t="s">
        <v>786</v>
      </c>
      <c r="C731" s="556" t="s">
        <v>11</v>
      </c>
      <c r="D731" s="561">
        <v>50</v>
      </c>
      <c r="E731" s="2392">
        <v>2.63</v>
      </c>
      <c r="F731" s="380">
        <v>0.35</v>
      </c>
      <c r="G731" s="380">
        <v>20.399999999999999</v>
      </c>
      <c r="H731" s="1384">
        <v>95.27</v>
      </c>
      <c r="I731" s="219">
        <v>11</v>
      </c>
      <c r="J731" s="558" t="s">
        <v>10</v>
      </c>
      <c r="K731" s="3"/>
    </row>
    <row r="732" spans="2:11" ht="15.75" thickBot="1">
      <c r="B732" s="559"/>
      <c r="C732" s="573" t="s">
        <v>792</v>
      </c>
      <c r="D732" s="574">
        <v>20</v>
      </c>
      <c r="E732" s="2392">
        <v>1.1299999999999999</v>
      </c>
      <c r="F732" s="380">
        <v>0.24</v>
      </c>
      <c r="G732" s="380">
        <v>8.3699999999999992</v>
      </c>
      <c r="H732" s="1388">
        <v>40.159999999999997</v>
      </c>
      <c r="I732" s="589">
        <v>12</v>
      </c>
      <c r="J732" s="552" t="s">
        <v>10</v>
      </c>
      <c r="K732" s="3"/>
    </row>
    <row r="733" spans="2:11">
      <c r="B733" s="565" t="s">
        <v>283</v>
      </c>
      <c r="D733" s="169">
        <f>D726+D727+D730+D731+D732+90+90</f>
        <v>610</v>
      </c>
      <c r="E733" s="566">
        <f>SUM(E726:E732)</f>
        <v>21.439999999999998</v>
      </c>
      <c r="F733" s="1353">
        <f>SUM(F726:F732)</f>
        <v>22.458000000000002</v>
      </c>
      <c r="G733" s="567">
        <f>SUM(G726:G732)</f>
        <v>98.575000000000017</v>
      </c>
      <c r="H733" s="2486">
        <f>SUM(H726:H732)</f>
        <v>680.71999999999991</v>
      </c>
      <c r="I733" s="1286" t="s">
        <v>482</v>
      </c>
      <c r="J733" s="1020" t="s">
        <v>280</v>
      </c>
      <c r="K733" s="3"/>
    </row>
    <row r="734" spans="2:11" ht="13.5" customHeight="1">
      <c r="B734" s="513"/>
      <c r="C734" s="1368" t="s">
        <v>12</v>
      </c>
      <c r="D734" s="2320">
        <v>0.25</v>
      </c>
      <c r="E734" s="2349">
        <v>22.5</v>
      </c>
      <c r="F734" s="2350">
        <v>23</v>
      </c>
      <c r="G734" s="2327">
        <v>95.75</v>
      </c>
      <c r="H734" s="2328">
        <v>680</v>
      </c>
      <c r="I734" s="1030">
        <f>H734-H733</f>
        <v>-0.7199999999999136</v>
      </c>
      <c r="J734" s="2314" t="s">
        <v>938</v>
      </c>
      <c r="K734" s="3"/>
    </row>
    <row r="735" spans="2:11" ht="14.25" customHeight="1" thickBot="1">
      <c r="B735" s="237"/>
      <c r="C735" s="1347" t="s">
        <v>957</v>
      </c>
      <c r="D735" s="2323"/>
      <c r="E735" s="2421">
        <f>(E733*100/E758)-25</f>
        <v>-1.1777777777777771</v>
      </c>
      <c r="F735" s="586">
        <f t="shared" ref="F735:H735" si="60">(F733*100/F758)-25</f>
        <v>-0.58913043478260718</v>
      </c>
      <c r="G735" s="586">
        <f t="shared" si="60"/>
        <v>0.73759791122715868</v>
      </c>
      <c r="H735" s="2487">
        <f t="shared" si="60"/>
        <v>2.6470588235287806E-2</v>
      </c>
      <c r="I735" s="2324"/>
      <c r="J735" s="2325"/>
      <c r="K735" s="3"/>
    </row>
    <row r="736" spans="2:11">
      <c r="B736" s="99"/>
      <c r="C736" s="600" t="s">
        <v>152</v>
      </c>
      <c r="D736" s="99"/>
      <c r="E736" s="194"/>
      <c r="F736" s="2447"/>
      <c r="G736" s="2447"/>
      <c r="H736" s="2447"/>
      <c r="I736" s="571"/>
      <c r="J736" s="1043"/>
      <c r="K736" s="3"/>
    </row>
    <row r="737" spans="2:15" ht="14.25" customHeight="1">
      <c r="B737" s="89"/>
      <c r="C737" s="241" t="s">
        <v>661</v>
      </c>
      <c r="D737" s="561">
        <v>60</v>
      </c>
      <c r="E737" s="2392">
        <v>1.1000000000000001</v>
      </c>
      <c r="F737" s="380">
        <v>0.1</v>
      </c>
      <c r="G737" s="380">
        <v>2.8</v>
      </c>
      <c r="H737" s="1384">
        <v>16.100000000000001</v>
      </c>
      <c r="I737" s="557">
        <v>8</v>
      </c>
      <c r="J737" s="644" t="s">
        <v>788</v>
      </c>
      <c r="K737" s="3"/>
    </row>
    <row r="738" spans="2:15">
      <c r="B738" s="89"/>
      <c r="C738" s="283" t="s">
        <v>841</v>
      </c>
      <c r="D738" s="551">
        <v>250</v>
      </c>
      <c r="E738" s="2415">
        <v>6.7610000000000001</v>
      </c>
      <c r="F738" s="381">
        <v>5.88</v>
      </c>
      <c r="G738" s="2415">
        <v>4.0250000000000004</v>
      </c>
      <c r="H738" s="1388">
        <v>96.063999999999993</v>
      </c>
      <c r="I738" s="589">
        <v>25</v>
      </c>
      <c r="J738" s="1272" t="s">
        <v>839</v>
      </c>
      <c r="K738" s="3"/>
    </row>
    <row r="739" spans="2:15" ht="15" customHeight="1">
      <c r="B739" s="550" t="s">
        <v>266</v>
      </c>
      <c r="C739" s="398" t="s">
        <v>851</v>
      </c>
      <c r="D739" s="1042">
        <v>110</v>
      </c>
      <c r="E739" s="2517">
        <v>14.962249999999999</v>
      </c>
      <c r="F739" s="1359">
        <v>15.874000000000001</v>
      </c>
      <c r="G739" s="2498">
        <v>7.6767000000000003</v>
      </c>
      <c r="H739" s="1388">
        <v>221.166</v>
      </c>
      <c r="I739" s="572">
        <v>61</v>
      </c>
      <c r="J739" s="1521" t="s">
        <v>849</v>
      </c>
      <c r="K739" s="3"/>
    </row>
    <row r="740" spans="2:15" ht="15" customHeight="1">
      <c r="B740" s="553" t="s">
        <v>500</v>
      </c>
      <c r="C740" s="1490" t="s">
        <v>782</v>
      </c>
      <c r="D740" s="551" t="s">
        <v>544</v>
      </c>
      <c r="E740" s="2414">
        <v>3.823</v>
      </c>
      <c r="F740" s="381">
        <v>6.7750000000000004</v>
      </c>
      <c r="G740" s="2415">
        <v>31.38</v>
      </c>
      <c r="H740" s="1388">
        <v>201.78700000000001</v>
      </c>
      <c r="I740" s="589">
        <v>47</v>
      </c>
      <c r="J740" s="552" t="s">
        <v>333</v>
      </c>
      <c r="K740" s="3"/>
    </row>
    <row r="741" spans="2:15" ht="17.25" customHeight="1">
      <c r="B741" s="89"/>
      <c r="C741" s="1488" t="s">
        <v>783</v>
      </c>
      <c r="D741" s="590"/>
      <c r="E741" s="1534">
        <v>0.70399999999999996</v>
      </c>
      <c r="F741" s="2444">
        <v>2.1280000000000001</v>
      </c>
      <c r="G741" s="147">
        <v>3.016</v>
      </c>
      <c r="H741" s="1466">
        <v>33.200000000000003</v>
      </c>
      <c r="I741" s="593"/>
      <c r="J741" s="1531" t="s">
        <v>664</v>
      </c>
      <c r="K741" s="3"/>
    </row>
    <row r="742" spans="2:15" ht="15.75">
      <c r="B742" s="555" t="s">
        <v>13</v>
      </c>
      <c r="C742" s="424" t="s">
        <v>219</v>
      </c>
      <c r="D742" s="561">
        <v>200</v>
      </c>
      <c r="E742" s="2459">
        <v>0.4</v>
      </c>
      <c r="F742" s="380">
        <v>0</v>
      </c>
      <c r="G742" s="380">
        <v>30.834299999999999</v>
      </c>
      <c r="H742" s="1466">
        <v>124.309</v>
      </c>
      <c r="I742" s="572">
        <v>80</v>
      </c>
      <c r="J742" s="1521" t="s">
        <v>853</v>
      </c>
      <c r="K742" s="3"/>
    </row>
    <row r="743" spans="2:15" ht="16.5" customHeight="1">
      <c r="B743" s="559" t="s">
        <v>786</v>
      </c>
      <c r="C743" s="556" t="s">
        <v>11</v>
      </c>
      <c r="D743" s="561">
        <v>70</v>
      </c>
      <c r="E743" s="2392">
        <v>3.6880000000000002</v>
      </c>
      <c r="F743" s="380">
        <v>0.49</v>
      </c>
      <c r="G743" s="380">
        <v>26.56</v>
      </c>
      <c r="H743" s="1384">
        <v>125.402</v>
      </c>
      <c r="I743" s="557">
        <v>11</v>
      </c>
      <c r="J743" s="558" t="s">
        <v>10</v>
      </c>
      <c r="K743" s="3"/>
    </row>
    <row r="744" spans="2:15" ht="15" customHeight="1">
      <c r="B744" s="89"/>
      <c r="C744" s="556" t="s">
        <v>792</v>
      </c>
      <c r="D744" s="551">
        <v>40</v>
      </c>
      <c r="E744" s="2392">
        <v>2.2599999999999998</v>
      </c>
      <c r="F744" s="380">
        <v>0.48</v>
      </c>
      <c r="G744" s="380">
        <v>16.739999999999998</v>
      </c>
      <c r="H744" s="1384">
        <v>80.319999999999993</v>
      </c>
      <c r="I744" s="557">
        <v>12</v>
      </c>
      <c r="J744" s="558" t="s">
        <v>10</v>
      </c>
      <c r="K744" s="3"/>
    </row>
    <row r="745" spans="2:15" ht="15.75" thickBot="1">
      <c r="B745" s="871"/>
      <c r="C745" s="563" t="s">
        <v>1005</v>
      </c>
      <c r="D745" s="574">
        <v>110</v>
      </c>
      <c r="E745" s="2421">
        <v>0.44</v>
      </c>
      <c r="F745" s="586">
        <v>0.44</v>
      </c>
      <c r="G745" s="586">
        <v>10.78</v>
      </c>
      <c r="H745" s="2488">
        <v>51.7</v>
      </c>
      <c r="I745" s="627">
        <v>73</v>
      </c>
      <c r="J745" s="549" t="s">
        <v>1004</v>
      </c>
      <c r="K745" s="3"/>
    </row>
    <row r="746" spans="2:15">
      <c r="B746" s="565" t="s">
        <v>269</v>
      </c>
      <c r="C746" s="800"/>
      <c r="D746" s="2373">
        <f>D737+D738+D739+D742+D743+D744+D745+140+40</f>
        <v>1020</v>
      </c>
      <c r="E746" s="575">
        <f>SUM(E737:E745)</f>
        <v>34.138249999999999</v>
      </c>
      <c r="F746" s="1353">
        <f>SUM(F737:F745)</f>
        <v>32.166999999999994</v>
      </c>
      <c r="G746" s="576">
        <f>SUM(G737:G745)</f>
        <v>133.81199999999998</v>
      </c>
      <c r="H746" s="2486">
        <f>SUM(H737:H745)</f>
        <v>950.048</v>
      </c>
      <c r="I746" s="1286" t="s">
        <v>482</v>
      </c>
      <c r="J746" s="1020" t="s">
        <v>280</v>
      </c>
      <c r="K746" s="3"/>
    </row>
    <row r="747" spans="2:15" ht="18.75" customHeight="1">
      <c r="B747" s="513"/>
      <c r="C747" s="1368" t="s">
        <v>12</v>
      </c>
      <c r="D747" s="2320">
        <v>0.35</v>
      </c>
      <c r="E747" s="2349">
        <v>31.5</v>
      </c>
      <c r="F747" s="2350">
        <v>32.200000000000003</v>
      </c>
      <c r="G747" s="2327">
        <v>134.05000000000001</v>
      </c>
      <c r="H747" s="2328">
        <v>952</v>
      </c>
      <c r="I747" s="1030">
        <f>H747-H746</f>
        <v>1.9519999999999982</v>
      </c>
      <c r="J747" s="2314" t="s">
        <v>938</v>
      </c>
      <c r="K747" s="3"/>
    </row>
    <row r="748" spans="2:15" ht="17.25" customHeight="1" thickBot="1">
      <c r="B748" s="237"/>
      <c r="C748" s="1347" t="s">
        <v>957</v>
      </c>
      <c r="D748" s="2323"/>
      <c r="E748" s="2421">
        <f>(E746*100/E758)-35</f>
        <v>2.9313888888888897</v>
      </c>
      <c r="F748" s="586">
        <f t="shared" ref="F748:H748" si="61">(F746*100/F758)-35</f>
        <v>-3.5869565217396371E-2</v>
      </c>
      <c r="G748" s="586">
        <f t="shared" si="61"/>
        <v>-6.2140992167101672E-2</v>
      </c>
      <c r="H748" s="2487">
        <f t="shared" si="61"/>
        <v>-7.176470588235162E-2</v>
      </c>
      <c r="I748" s="2324"/>
      <c r="J748" s="2325"/>
      <c r="K748" s="3"/>
    </row>
    <row r="749" spans="2:15">
      <c r="B749" s="550" t="s">
        <v>266</v>
      </c>
      <c r="C749" s="600" t="s">
        <v>324</v>
      </c>
      <c r="D749" s="99"/>
      <c r="E749" s="2446"/>
      <c r="F749" s="2447"/>
      <c r="G749" s="2447"/>
      <c r="H749" s="2497"/>
      <c r="I749" s="571"/>
      <c r="J749" s="571"/>
      <c r="K749" s="3"/>
    </row>
    <row r="750" spans="2:15" ht="15.75" customHeight="1">
      <c r="B750" s="553" t="s">
        <v>500</v>
      </c>
      <c r="C750" s="249" t="s">
        <v>19</v>
      </c>
      <c r="D750" s="561">
        <v>200</v>
      </c>
      <c r="E750" s="2392">
        <v>5.7169999999999996</v>
      </c>
      <c r="F750" s="380">
        <v>4.6020000000000003</v>
      </c>
      <c r="G750" s="380">
        <v>11.134</v>
      </c>
      <c r="H750" s="1384">
        <v>108.828</v>
      </c>
      <c r="I750" s="557">
        <v>86</v>
      </c>
      <c r="J750" s="558" t="s">
        <v>18</v>
      </c>
      <c r="K750" s="3"/>
      <c r="O750" s="111"/>
    </row>
    <row r="751" spans="2:15" ht="15.75">
      <c r="B751" s="555" t="s">
        <v>13</v>
      </c>
      <c r="C751" s="556" t="s">
        <v>784</v>
      </c>
      <c r="D751" s="636" t="s">
        <v>928</v>
      </c>
      <c r="E751" s="152">
        <v>5.9029999999999996</v>
      </c>
      <c r="F751" s="2516">
        <v>3.6469999999999998</v>
      </c>
      <c r="G751" s="152">
        <v>22.283000000000001</v>
      </c>
      <c r="H751" s="1466">
        <v>111.25</v>
      </c>
      <c r="I751" s="1039">
        <v>38</v>
      </c>
      <c r="J751" s="777" t="s">
        <v>785</v>
      </c>
      <c r="K751" s="3"/>
    </row>
    <row r="752" spans="2:15" ht="14.25" customHeight="1" thickBot="1">
      <c r="B752" s="559" t="s">
        <v>786</v>
      </c>
      <c r="C752" s="563" t="s">
        <v>792</v>
      </c>
      <c r="D752" s="574">
        <v>24</v>
      </c>
      <c r="E752" s="2392">
        <v>1.3560000000000001</v>
      </c>
      <c r="F752" s="380">
        <v>0.28799999999999998</v>
      </c>
      <c r="G752" s="380">
        <v>10.044</v>
      </c>
      <c r="H752" s="1384">
        <v>48.192</v>
      </c>
      <c r="I752" s="562">
        <v>12</v>
      </c>
      <c r="J752" s="558" t="s">
        <v>10</v>
      </c>
      <c r="K752" s="3"/>
      <c r="O752" s="111"/>
    </row>
    <row r="753" spans="2:15">
      <c r="B753" s="565" t="s">
        <v>357</v>
      </c>
      <c r="C753" s="433"/>
      <c r="D753" s="577">
        <f>D750+D752+90+40</f>
        <v>354</v>
      </c>
      <c r="E753" s="575">
        <f>SUM(E750:E752)</f>
        <v>12.975999999999999</v>
      </c>
      <c r="F753" s="1353">
        <f>SUM(F750:F752)</f>
        <v>8.5370000000000008</v>
      </c>
      <c r="G753" s="576">
        <f>SUM(G750:G752)</f>
        <v>43.460999999999999</v>
      </c>
      <c r="H753" s="2486">
        <f>SUM(H750:H752)</f>
        <v>268.27</v>
      </c>
      <c r="I753" s="1286" t="s">
        <v>482</v>
      </c>
      <c r="J753" s="1020" t="s">
        <v>280</v>
      </c>
      <c r="K753" s="3"/>
      <c r="O753" s="44"/>
    </row>
    <row r="754" spans="2:15">
      <c r="B754" s="513"/>
      <c r="C754" s="1368" t="s">
        <v>12</v>
      </c>
      <c r="D754" s="2320">
        <v>0.1</v>
      </c>
      <c r="E754" s="2349">
        <v>9</v>
      </c>
      <c r="F754" s="2350">
        <v>9.1999999999999993</v>
      </c>
      <c r="G754" s="2327">
        <v>38.299999999999997</v>
      </c>
      <c r="H754" s="2328">
        <v>272</v>
      </c>
      <c r="I754" s="2574">
        <f>H754-H753</f>
        <v>3.7300000000000182</v>
      </c>
      <c r="J754" s="2314" t="s">
        <v>938</v>
      </c>
      <c r="K754" s="3"/>
      <c r="O754" s="194"/>
    </row>
    <row r="755" spans="2:15" ht="15.75" thickBot="1">
      <c r="B755" s="237"/>
      <c r="C755" s="1347" t="s">
        <v>957</v>
      </c>
      <c r="D755" s="2323"/>
      <c r="E755" s="2421">
        <f>(E753*100/E758)-10</f>
        <v>4.4177777777777774</v>
      </c>
      <c r="F755" s="586">
        <f t="shared" ref="F755:G755" si="62">(F753*100/F758)-10</f>
        <v>-0.72065217391304337</v>
      </c>
      <c r="G755" s="586">
        <f t="shared" si="62"/>
        <v>1.3475195822454289</v>
      </c>
      <c r="H755" s="2487">
        <f>(H753*100/H758)-10</f>
        <v>-0.13713235294117609</v>
      </c>
      <c r="I755" s="2324"/>
      <c r="J755" s="2325"/>
      <c r="K755" s="3"/>
      <c r="O755"/>
    </row>
    <row r="756" spans="2:15" ht="15.75" thickBot="1">
      <c r="E756" s="194"/>
      <c r="F756" s="194"/>
      <c r="G756" s="194"/>
      <c r="H756" s="194"/>
      <c r="K756" s="3"/>
      <c r="O756"/>
    </row>
    <row r="757" spans="2:15" ht="13.5" customHeight="1">
      <c r="B757" s="2331"/>
      <c r="C757" s="2332"/>
      <c r="D757" s="2333"/>
      <c r="E757" s="2489" t="s">
        <v>6</v>
      </c>
      <c r="F757" s="2490" t="s">
        <v>7</v>
      </c>
      <c r="G757" s="2490" t="s">
        <v>8</v>
      </c>
      <c r="H757" s="2491" t="s">
        <v>958</v>
      </c>
      <c r="I757" s="2334"/>
      <c r="J757" s="2333"/>
      <c r="K757" s="3"/>
    </row>
    <row r="758" spans="2:15" ht="14.25" customHeight="1" thickBot="1">
      <c r="B758" s="2335"/>
      <c r="C758" s="2336" t="s">
        <v>959</v>
      </c>
      <c r="D758" s="2337">
        <v>1</v>
      </c>
      <c r="E758" s="2492">
        <v>90</v>
      </c>
      <c r="F758" s="2493">
        <v>92</v>
      </c>
      <c r="G758" s="2494">
        <v>383</v>
      </c>
      <c r="H758" s="2495">
        <v>2720</v>
      </c>
      <c r="I758" s="2338" t="s">
        <v>960</v>
      </c>
      <c r="J758" s="2339"/>
      <c r="K758" s="3"/>
    </row>
    <row r="759" spans="2:15" ht="15" customHeight="1" thickBot="1">
      <c r="E759" s="194"/>
      <c r="F759" s="194"/>
      <c r="G759" s="194"/>
      <c r="H759" s="194"/>
      <c r="K759" s="3"/>
    </row>
    <row r="760" spans="2:15">
      <c r="B760" s="1021"/>
      <c r="C760" s="34" t="s">
        <v>481</v>
      </c>
      <c r="D760" s="35"/>
      <c r="E760" s="145">
        <f>E733+E746</f>
        <v>55.578249999999997</v>
      </c>
      <c r="F760" s="243">
        <f>F733+F746</f>
        <v>54.625</v>
      </c>
      <c r="G760" s="243">
        <f>G733+G746</f>
        <v>232.387</v>
      </c>
      <c r="H760" s="1024">
        <f>H733+H746</f>
        <v>1630.768</v>
      </c>
      <c r="I760" s="1286" t="s">
        <v>482</v>
      </c>
      <c r="J760" s="1020" t="s">
        <v>280</v>
      </c>
      <c r="K760" s="3"/>
    </row>
    <row r="761" spans="2:15" ht="17.25" customHeight="1">
      <c r="B761" s="513"/>
      <c r="C761" s="1368" t="s">
        <v>12</v>
      </c>
      <c r="D761" s="2320">
        <v>0.6</v>
      </c>
      <c r="E761" s="2352">
        <v>54</v>
      </c>
      <c r="F761" s="2353">
        <v>55.2</v>
      </c>
      <c r="G761" s="2341">
        <v>229.8</v>
      </c>
      <c r="H761" s="2342">
        <v>1632</v>
      </c>
      <c r="I761" s="2343">
        <f>H761-H760</f>
        <v>1.2319999999999709</v>
      </c>
      <c r="J761" s="2314" t="s">
        <v>938</v>
      </c>
      <c r="K761" s="3"/>
    </row>
    <row r="762" spans="2:15" ht="18" customHeight="1" thickBot="1">
      <c r="B762" s="237"/>
      <c r="C762" s="1347" t="s">
        <v>957</v>
      </c>
      <c r="D762" s="2323"/>
      <c r="E762" s="2421">
        <f>(E760*100/E758)-60</f>
        <v>1.7536111111111126</v>
      </c>
      <c r="F762" s="586">
        <f t="shared" ref="F762:G762" si="63">(F760*100/F758)-60</f>
        <v>-0.625</v>
      </c>
      <c r="G762" s="586">
        <f t="shared" si="63"/>
        <v>0.67545691906005345</v>
      </c>
      <c r="H762" s="2487">
        <f>(H760*100/H758)-60</f>
        <v>-4.5294117647060261E-2</v>
      </c>
      <c r="I762" s="2324"/>
      <c r="J762" s="2325"/>
      <c r="K762" s="3"/>
    </row>
    <row r="763" spans="2:15" ht="11.25" customHeight="1" thickBot="1">
      <c r="E763" s="194"/>
      <c r="F763" s="194"/>
      <c r="G763" s="194"/>
      <c r="H763" s="194"/>
      <c r="K763" s="3"/>
    </row>
    <row r="764" spans="2:15" ht="15" customHeight="1">
      <c r="B764" s="1021"/>
      <c r="C764" s="34" t="s">
        <v>480</v>
      </c>
      <c r="D764" s="35"/>
      <c r="E764" s="145">
        <f>E746+E753</f>
        <v>47.114249999999998</v>
      </c>
      <c r="F764" s="243">
        <f>F746+F753</f>
        <v>40.703999999999994</v>
      </c>
      <c r="G764" s="243">
        <f>G746+G753</f>
        <v>177.27299999999997</v>
      </c>
      <c r="H764" s="1024">
        <f>H746+H753</f>
        <v>1218.318</v>
      </c>
      <c r="I764" s="1286" t="s">
        <v>482</v>
      </c>
      <c r="J764" s="1020" t="s">
        <v>280</v>
      </c>
      <c r="K764" s="3"/>
    </row>
    <row r="765" spans="2:15">
      <c r="B765" s="513"/>
      <c r="C765" s="1368" t="s">
        <v>12</v>
      </c>
      <c r="D765" s="2320">
        <v>0.45</v>
      </c>
      <c r="E765" s="2349">
        <v>40.5</v>
      </c>
      <c r="F765" s="2350">
        <v>41.4</v>
      </c>
      <c r="G765" s="2327">
        <v>172.35</v>
      </c>
      <c r="H765" s="2328">
        <v>1224</v>
      </c>
      <c r="I765" s="1030">
        <f>H765-H764</f>
        <v>5.6820000000000164</v>
      </c>
      <c r="J765" s="2314" t="s">
        <v>938</v>
      </c>
      <c r="K765" s="3"/>
    </row>
    <row r="766" spans="2:15" ht="15.75" thickBot="1">
      <c r="B766" s="237"/>
      <c r="C766" s="1347" t="s">
        <v>957</v>
      </c>
      <c r="D766" s="2323"/>
      <c r="E766" s="2421">
        <f>(E764*100/E758)-45</f>
        <v>7.3491666666666688</v>
      </c>
      <c r="F766" s="586">
        <f t="shared" ref="F766:G766" si="64">(F764*100/F758)-45</f>
        <v>-0.75652173913044152</v>
      </c>
      <c r="G766" s="586">
        <f t="shared" si="64"/>
        <v>1.2853785900783166</v>
      </c>
      <c r="H766" s="2487">
        <f>(H764*100/H758)-45</f>
        <v>-0.20889705882353127</v>
      </c>
      <c r="I766" s="2324"/>
      <c r="J766" s="2325"/>
      <c r="K766" s="3"/>
    </row>
    <row r="767" spans="2:15" ht="17.25" customHeight="1" thickBot="1">
      <c r="E767" s="194"/>
      <c r="F767" s="194"/>
      <c r="G767" s="194"/>
      <c r="H767" s="194"/>
      <c r="K767" s="3"/>
    </row>
    <row r="768" spans="2:15" ht="14.25" customHeight="1">
      <c r="B768" s="1021"/>
      <c r="C768" s="34" t="s">
        <v>358</v>
      </c>
      <c r="D768" s="35"/>
      <c r="E768" s="149">
        <f>E733+E746+E753</f>
        <v>68.554249999999996</v>
      </c>
      <c r="F768" s="109">
        <f>F733+F746+F753</f>
        <v>63.161999999999999</v>
      </c>
      <c r="G768" s="109">
        <f>G733+G746+G753</f>
        <v>275.84800000000001</v>
      </c>
      <c r="H768" s="244">
        <f>H733+H746+H753</f>
        <v>1899.038</v>
      </c>
      <c r="I768" s="1286" t="s">
        <v>482</v>
      </c>
      <c r="J768" s="1020" t="s">
        <v>280</v>
      </c>
      <c r="K768" s="3"/>
    </row>
    <row r="769" spans="2:11">
      <c r="B769" s="513"/>
      <c r="C769" s="1368" t="s">
        <v>12</v>
      </c>
      <c r="D769" s="2320">
        <v>0.7</v>
      </c>
      <c r="E769" s="2349">
        <v>63</v>
      </c>
      <c r="F769" s="2350">
        <v>64.400000000000006</v>
      </c>
      <c r="G769" s="2327">
        <v>268.10000000000002</v>
      </c>
      <c r="H769" s="2328">
        <v>1904</v>
      </c>
      <c r="I769" s="2344">
        <f>H769-H768</f>
        <v>4.9619999999999891</v>
      </c>
      <c r="J769" s="2314" t="s">
        <v>938</v>
      </c>
      <c r="K769" s="3"/>
    </row>
    <row r="770" spans="2:11" ht="12.75" customHeight="1" thickBot="1">
      <c r="B770" s="237"/>
      <c r="C770" s="1347" t="s">
        <v>957</v>
      </c>
      <c r="D770" s="2323"/>
      <c r="E770" s="2421">
        <f>(E768*100/E758)-70</f>
        <v>6.1713888888888846</v>
      </c>
      <c r="F770" s="586">
        <f t="shared" ref="F770:G770" si="65">(F768*100/F758)-70</f>
        <v>-1.3456521739130523</v>
      </c>
      <c r="G770" s="586">
        <f t="shared" si="65"/>
        <v>2.022976501305493</v>
      </c>
      <c r="H770" s="2487">
        <f>(H768*100/H758)-70</f>
        <v>-0.18242647058823991</v>
      </c>
      <c r="I770" s="2324"/>
      <c r="J770" s="2325"/>
      <c r="K770" s="3"/>
    </row>
    <row r="771" spans="2:11" ht="12.75" customHeight="1">
      <c r="K771" s="3"/>
    </row>
    <row r="772" spans="2:11">
      <c r="D772" s="5" t="s">
        <v>286</v>
      </c>
      <c r="K772" s="3"/>
    </row>
    <row r="773" spans="2:11" ht="12.75" customHeight="1">
      <c r="B773" s="171" t="s">
        <v>774</v>
      </c>
      <c r="F773" s="218" t="s">
        <v>775</v>
      </c>
      <c r="K773" s="3"/>
    </row>
    <row r="774" spans="2:11" ht="13.5" customHeight="1">
      <c r="C774" s="19" t="s">
        <v>282</v>
      </c>
      <c r="E774"/>
      <c r="F774"/>
      <c r="G774" s="19"/>
      <c r="H774" s="19"/>
      <c r="I774" s="13"/>
      <c r="J774" s="13"/>
      <c r="K774" s="3"/>
    </row>
    <row r="775" spans="2:11" ht="16.5" customHeight="1" thickBot="1">
      <c r="B775" s="201" t="s">
        <v>776</v>
      </c>
      <c r="D775" s="658" t="s">
        <v>364</v>
      </c>
      <c r="G775" s="20" t="s">
        <v>0</v>
      </c>
      <c r="H775" s="13" t="s">
        <v>690</v>
      </c>
      <c r="I775" s="13"/>
      <c r="J775" s="13"/>
      <c r="K775" s="3"/>
    </row>
    <row r="776" spans="2:11" ht="13.5" customHeight="1" thickBot="1">
      <c r="B776" s="601" t="s">
        <v>511</v>
      </c>
      <c r="C776" s="58"/>
      <c r="D776" s="602"/>
      <c r="E776" s="397" t="s">
        <v>252</v>
      </c>
      <c r="F776" s="397"/>
      <c r="G776" s="397"/>
      <c r="H776" s="527" t="s">
        <v>253</v>
      </c>
      <c r="I776" s="603" t="s">
        <v>278</v>
      </c>
      <c r="J776" s="604"/>
      <c r="K776" s="3"/>
    </row>
    <row r="777" spans="2:11">
      <c r="B777" s="61"/>
      <c r="C777" s="749" t="s">
        <v>763</v>
      </c>
      <c r="D777" s="605"/>
      <c r="E777" s="606" t="s">
        <v>259</v>
      </c>
      <c r="F777" s="532" t="s">
        <v>63</v>
      </c>
      <c r="G777" s="532" t="s">
        <v>64</v>
      </c>
      <c r="H777" s="529" t="s">
        <v>260</v>
      </c>
      <c r="I777" s="607" t="s">
        <v>45</v>
      </c>
      <c r="J777" s="608" t="s">
        <v>279</v>
      </c>
      <c r="K777" s="3"/>
    </row>
    <row r="778" spans="2:11" ht="15.75" thickBot="1">
      <c r="B778" s="57"/>
      <c r="C778" s="623" t="s">
        <v>484</v>
      </c>
      <c r="D778" s="578"/>
      <c r="E778" s="609" t="s">
        <v>6</v>
      </c>
      <c r="F778" s="538" t="s">
        <v>7</v>
      </c>
      <c r="G778" s="538" t="s">
        <v>8</v>
      </c>
      <c r="H778" s="610" t="s">
        <v>263</v>
      </c>
      <c r="I778" s="568"/>
      <c r="J778" s="611" t="s">
        <v>280</v>
      </c>
      <c r="K778" s="3"/>
    </row>
    <row r="779" spans="2:11">
      <c r="B779" s="61"/>
      <c r="C779" s="2362" t="s">
        <v>959</v>
      </c>
      <c r="D779" s="746">
        <v>1</v>
      </c>
      <c r="E779" s="442">
        <v>90</v>
      </c>
      <c r="F779" s="59">
        <v>92</v>
      </c>
      <c r="G779" s="60">
        <v>383</v>
      </c>
      <c r="H779" s="612">
        <v>2720</v>
      </c>
      <c r="I779" s="613" t="s">
        <v>259</v>
      </c>
      <c r="J779" s="2581">
        <f>(E783*100/E779)-25</f>
        <v>0</v>
      </c>
      <c r="K779" s="3"/>
    </row>
    <row r="780" spans="2:11" ht="13.5" customHeight="1">
      <c r="B780" s="168"/>
      <c r="C780" s="150" t="s">
        <v>145</v>
      </c>
      <c r="D780" s="614"/>
      <c r="E780" s="769"/>
      <c r="F780" s="443"/>
      <c r="G780" s="443"/>
      <c r="H780" s="770"/>
      <c r="I780" s="615" t="s">
        <v>63</v>
      </c>
      <c r="J780" s="2582">
        <f>(F783*100/F779)-25</f>
        <v>0</v>
      </c>
      <c r="K780" s="3"/>
    </row>
    <row r="781" spans="2:11" ht="12.75" customHeight="1">
      <c r="B781" s="751" t="s">
        <v>512</v>
      </c>
      <c r="C781" s="616" t="s">
        <v>475</v>
      </c>
      <c r="D781" s="391">
        <v>0.25</v>
      </c>
      <c r="E781" s="772">
        <v>22.5</v>
      </c>
      <c r="F781" s="773">
        <v>23</v>
      </c>
      <c r="G781" s="773">
        <v>95.75</v>
      </c>
      <c r="H781" s="771">
        <v>680</v>
      </c>
      <c r="I781" s="615" t="s">
        <v>64</v>
      </c>
      <c r="J781" s="2583">
        <f>(G783*100/G779)-25</f>
        <v>0</v>
      </c>
      <c r="K781" s="3"/>
    </row>
    <row r="782" spans="2:11" ht="12" customHeight="1">
      <c r="B782" s="61"/>
      <c r="C782" s="617"/>
      <c r="D782" s="618"/>
      <c r="E782" s="554"/>
      <c r="F782" s="631"/>
      <c r="G782" s="631"/>
      <c r="H782" s="632"/>
      <c r="I782" s="619" t="s">
        <v>281</v>
      </c>
      <c r="J782" s="2584"/>
      <c r="K782" s="3"/>
    </row>
    <row r="783" spans="2:11" ht="15.75" thickBot="1">
      <c r="B783" s="620"/>
      <c r="C783" s="621" t="s">
        <v>757</v>
      </c>
      <c r="D783" s="622"/>
      <c r="E783" s="220">
        <f>(E462+E515+E570+E623+E677+E733)/6</f>
        <v>22.5</v>
      </c>
      <c r="F783" s="221">
        <f>(F462+F515+F570+F623+F677+F733)/6</f>
        <v>23</v>
      </c>
      <c r="G783" s="221">
        <f>(G462+G515+G570+G623+G677+G733)/6</f>
        <v>95.75</v>
      </c>
      <c r="H783" s="633">
        <f>(H462+H515+H570+H623+H677+H733)/6</f>
        <v>679.99999999999989</v>
      </c>
      <c r="I783" s="623" t="s">
        <v>263</v>
      </c>
      <c r="J783" s="2585">
        <f>(H783*100/H779)-25</f>
        <v>0</v>
      </c>
      <c r="K783" s="3"/>
    </row>
    <row r="784" spans="2:11" ht="15.75" thickBot="1">
      <c r="K784" s="3"/>
    </row>
    <row r="785" spans="2:15" ht="15.75" thickBot="1">
      <c r="B785" s="601" t="s">
        <v>511</v>
      </c>
      <c r="C785" s="58"/>
      <c r="D785" s="602"/>
      <c r="E785" s="397" t="s">
        <v>252</v>
      </c>
      <c r="F785" s="397"/>
      <c r="G785" s="397"/>
      <c r="H785" s="527" t="s">
        <v>253</v>
      </c>
      <c r="I785" s="603" t="s">
        <v>278</v>
      </c>
      <c r="J785" s="752"/>
      <c r="K785" s="3"/>
    </row>
    <row r="786" spans="2:15">
      <c r="B786" s="61"/>
      <c r="C786" s="749" t="s">
        <v>762</v>
      </c>
      <c r="D786" s="605"/>
      <c r="E786" s="606" t="s">
        <v>259</v>
      </c>
      <c r="F786" s="532" t="s">
        <v>63</v>
      </c>
      <c r="G786" s="532" t="s">
        <v>64</v>
      </c>
      <c r="H786" s="529" t="s">
        <v>260</v>
      </c>
      <c r="I786" s="607" t="s">
        <v>45</v>
      </c>
      <c r="J786" s="608" t="s">
        <v>279</v>
      </c>
      <c r="K786" s="3"/>
    </row>
    <row r="787" spans="2:15" ht="15.75" thickBot="1">
      <c r="B787" s="57"/>
      <c r="C787" s="623" t="s">
        <v>484</v>
      </c>
      <c r="D787" s="578"/>
      <c r="E787" s="609" t="s">
        <v>6</v>
      </c>
      <c r="F787" s="538" t="s">
        <v>7</v>
      </c>
      <c r="G787" s="538" t="s">
        <v>8</v>
      </c>
      <c r="H787" s="610" t="s">
        <v>263</v>
      </c>
      <c r="I787" s="568"/>
      <c r="J787" s="611" t="s">
        <v>280</v>
      </c>
      <c r="K787" s="3"/>
    </row>
    <row r="788" spans="2:15">
      <c r="B788" s="61"/>
      <c r="C788" s="2362" t="s">
        <v>959</v>
      </c>
      <c r="D788" s="746">
        <v>1</v>
      </c>
      <c r="E788" s="442">
        <v>90</v>
      </c>
      <c r="F788" s="59">
        <v>92</v>
      </c>
      <c r="G788" s="60">
        <v>383</v>
      </c>
      <c r="H788" s="612">
        <v>2720</v>
      </c>
      <c r="I788" s="613" t="s">
        <v>259</v>
      </c>
      <c r="J788" s="2581">
        <f>(E792*100/E788)-35</f>
        <v>0</v>
      </c>
      <c r="K788" s="3"/>
    </row>
    <row r="789" spans="2:15" ht="13.5" customHeight="1">
      <c r="B789" s="168"/>
      <c r="C789" s="150" t="s">
        <v>145</v>
      </c>
      <c r="D789" s="614"/>
      <c r="E789" s="769"/>
      <c r="F789" s="443"/>
      <c r="G789" s="443"/>
      <c r="H789" s="770"/>
      <c r="I789" s="615" t="s">
        <v>63</v>
      </c>
      <c r="J789" s="2582">
        <f>(F792*100/F788)-35</f>
        <v>0</v>
      </c>
      <c r="K789" s="3"/>
    </row>
    <row r="790" spans="2:15" ht="12.75" customHeight="1">
      <c r="B790" s="751" t="s">
        <v>512</v>
      </c>
      <c r="C790" s="616" t="s">
        <v>476</v>
      </c>
      <c r="D790" s="391">
        <v>0.35</v>
      </c>
      <c r="E790" s="772">
        <v>31.5</v>
      </c>
      <c r="F790" s="773">
        <v>32.200000000000003</v>
      </c>
      <c r="G790" s="773">
        <v>134.05000000000001</v>
      </c>
      <c r="H790" s="771">
        <v>952</v>
      </c>
      <c r="I790" s="615" t="s">
        <v>64</v>
      </c>
      <c r="J790" s="2583">
        <f>(G792*100/G788)-35</f>
        <v>0</v>
      </c>
      <c r="K790" s="3"/>
    </row>
    <row r="791" spans="2:15" ht="12" customHeight="1">
      <c r="B791" s="61"/>
      <c r="C791" s="617"/>
      <c r="D791" s="618"/>
      <c r="E791" s="554"/>
      <c r="F791" s="631"/>
      <c r="G791" s="631"/>
      <c r="H791" s="632"/>
      <c r="I791" s="619" t="s">
        <v>281</v>
      </c>
      <c r="J791" s="2584"/>
      <c r="K791" s="3"/>
    </row>
    <row r="792" spans="2:15" ht="15.75" thickBot="1">
      <c r="B792" s="620"/>
      <c r="C792" s="621" t="s">
        <v>757</v>
      </c>
      <c r="D792" s="622"/>
      <c r="E792" s="220">
        <f>(E473+E527+E581+E636+E689+E746)/6</f>
        <v>31.5</v>
      </c>
      <c r="F792" s="221">
        <f>(F473+F527+F581+F636+F689+F746)/6</f>
        <v>32.199999999999996</v>
      </c>
      <c r="G792" s="221">
        <f>(G473+G527+G581+G636+G689+G746)/6</f>
        <v>134.05000000000001</v>
      </c>
      <c r="H792" s="633">
        <f>(H473+H527+H581+H636+H689+H746)/6</f>
        <v>952</v>
      </c>
      <c r="I792" s="623" t="s">
        <v>263</v>
      </c>
      <c r="J792" s="2585">
        <f>(H792*100/H788)-35</f>
        <v>0</v>
      </c>
      <c r="K792" s="3"/>
    </row>
    <row r="793" spans="2:15" ht="11.25" customHeight="1" thickBot="1">
      <c r="K793" s="3"/>
    </row>
    <row r="794" spans="2:15" ht="15.75" thickBot="1">
      <c r="B794" s="601" t="s">
        <v>511</v>
      </c>
      <c r="C794" s="58"/>
      <c r="D794" s="602"/>
      <c r="E794" s="397" t="s">
        <v>252</v>
      </c>
      <c r="F794" s="397"/>
      <c r="G794" s="397"/>
      <c r="H794" s="527" t="s">
        <v>253</v>
      </c>
      <c r="I794" s="603" t="s">
        <v>278</v>
      </c>
      <c r="J794" s="752"/>
      <c r="K794" s="3"/>
    </row>
    <row r="795" spans="2:15" ht="12" customHeight="1">
      <c r="B795" s="61"/>
      <c r="C795" s="749" t="s">
        <v>761</v>
      </c>
      <c r="D795" s="605"/>
      <c r="E795" s="606" t="s">
        <v>259</v>
      </c>
      <c r="F795" s="532" t="s">
        <v>63</v>
      </c>
      <c r="G795" s="532" t="s">
        <v>64</v>
      </c>
      <c r="H795" s="529" t="s">
        <v>260</v>
      </c>
      <c r="I795" s="607" t="s">
        <v>45</v>
      </c>
      <c r="J795" s="608" t="s">
        <v>279</v>
      </c>
      <c r="K795" s="3"/>
      <c r="O795" s="789"/>
    </row>
    <row r="796" spans="2:15" ht="15.75" thickBot="1">
      <c r="B796" s="57"/>
      <c r="C796" s="623" t="s">
        <v>484</v>
      </c>
      <c r="D796" s="578"/>
      <c r="E796" s="609" t="s">
        <v>6</v>
      </c>
      <c r="F796" s="538" t="s">
        <v>7</v>
      </c>
      <c r="G796" s="538" t="s">
        <v>8</v>
      </c>
      <c r="H796" s="610" t="s">
        <v>263</v>
      </c>
      <c r="I796" s="568"/>
      <c r="J796" s="611" t="s">
        <v>280</v>
      </c>
      <c r="K796" s="3"/>
    </row>
    <row r="797" spans="2:15">
      <c r="B797" s="61"/>
      <c r="C797" s="2362" t="s">
        <v>959</v>
      </c>
      <c r="D797" s="746">
        <v>1</v>
      </c>
      <c r="E797" s="442">
        <v>90</v>
      </c>
      <c r="F797" s="59">
        <v>92</v>
      </c>
      <c r="G797" s="60">
        <v>383</v>
      </c>
      <c r="H797" s="612">
        <v>2720</v>
      </c>
      <c r="I797" s="613" t="s">
        <v>259</v>
      </c>
      <c r="J797" s="2581">
        <f>(E801*100/E797)-10</f>
        <v>0</v>
      </c>
      <c r="K797" s="3"/>
    </row>
    <row r="798" spans="2:15" ht="13.5" customHeight="1">
      <c r="B798" s="168"/>
      <c r="C798" s="150" t="s">
        <v>145</v>
      </c>
      <c r="D798" s="614"/>
      <c r="E798" s="769"/>
      <c r="F798" s="443"/>
      <c r="G798" s="443"/>
      <c r="H798" s="770"/>
      <c r="I798" s="615" t="s">
        <v>63</v>
      </c>
      <c r="J798" s="2582">
        <f>(F801*100/F797)-10</f>
        <v>0</v>
      </c>
      <c r="K798" s="3"/>
    </row>
    <row r="799" spans="2:15" ht="12" customHeight="1">
      <c r="B799" s="751" t="s">
        <v>512</v>
      </c>
      <c r="C799" s="616" t="s">
        <v>472</v>
      </c>
      <c r="D799" s="391">
        <v>0.1</v>
      </c>
      <c r="E799" s="772">
        <v>9</v>
      </c>
      <c r="F799" s="773">
        <v>9.1999999999999993</v>
      </c>
      <c r="G799" s="773">
        <v>38.299999999999997</v>
      </c>
      <c r="H799" s="771">
        <v>272</v>
      </c>
      <c r="I799" s="615" t="s">
        <v>64</v>
      </c>
      <c r="J799" s="2583">
        <f>(G801*100/G797)-10</f>
        <v>0</v>
      </c>
      <c r="K799" s="3"/>
    </row>
    <row r="800" spans="2:15">
      <c r="B800" s="61"/>
      <c r="C800" s="617"/>
      <c r="D800" s="618"/>
      <c r="E800" s="554"/>
      <c r="F800" s="631"/>
      <c r="G800" s="631"/>
      <c r="H800" s="632"/>
      <c r="I800" s="619" t="s">
        <v>281</v>
      </c>
      <c r="J800" s="2584"/>
      <c r="K800" s="3"/>
    </row>
    <row r="801" spans="2:11" ht="12" customHeight="1" thickBot="1">
      <c r="B801" s="620"/>
      <c r="C801" s="621" t="s">
        <v>757</v>
      </c>
      <c r="D801" s="622"/>
      <c r="E801" s="220">
        <f>(E479+E534+E588+E643+E696+E753)/6</f>
        <v>9</v>
      </c>
      <c r="F801" s="221">
        <f>(F479+F534+F588+F643+F696+F753)/6</f>
        <v>9.2000000000000011</v>
      </c>
      <c r="G801" s="221">
        <f>(G479+G534+G588+G643+G696+G753)/6</f>
        <v>38.300000000000004</v>
      </c>
      <c r="H801" s="633">
        <f>(H479+H534+H588+H643+H696+H753)/6</f>
        <v>271.99933333333337</v>
      </c>
      <c r="I801" s="623" t="s">
        <v>263</v>
      </c>
      <c r="J801" s="2585">
        <f>(H801*100/H797)-10</f>
        <v>-2.4509803919769979E-5</v>
      </c>
      <c r="K801" s="3"/>
    </row>
    <row r="802" spans="2:11" ht="12.75" customHeight="1" thickBot="1">
      <c r="K802" s="3"/>
    </row>
    <row r="803" spans="2:11" ht="15.75" thickBot="1">
      <c r="B803" s="601" t="s">
        <v>511</v>
      </c>
      <c r="C803" s="58"/>
      <c r="D803" s="602"/>
      <c r="E803" s="914" t="s">
        <v>252</v>
      </c>
      <c r="F803" s="914"/>
      <c r="G803" s="914"/>
      <c r="H803" s="527" t="s">
        <v>253</v>
      </c>
      <c r="I803" s="603" t="s">
        <v>278</v>
      </c>
      <c r="J803" s="604"/>
      <c r="K803" s="3"/>
    </row>
    <row r="804" spans="2:11" ht="12" customHeight="1">
      <c r="B804" s="61"/>
      <c r="C804" s="749" t="s">
        <v>760</v>
      </c>
      <c r="D804" s="614"/>
      <c r="E804" s="532" t="s">
        <v>259</v>
      </c>
      <c r="F804" s="532" t="s">
        <v>63</v>
      </c>
      <c r="G804" s="532" t="s">
        <v>64</v>
      </c>
      <c r="H804" s="1495" t="s">
        <v>260</v>
      </c>
      <c r="I804" s="22" t="s">
        <v>45</v>
      </c>
      <c r="J804" s="608" t="s">
        <v>279</v>
      </c>
      <c r="K804" s="3"/>
    </row>
    <row r="805" spans="2:11" ht="15.75" thickBot="1">
      <c r="B805" s="57"/>
      <c r="C805" s="623" t="s">
        <v>484</v>
      </c>
      <c r="D805" s="1127"/>
      <c r="E805" s="538" t="s">
        <v>6</v>
      </c>
      <c r="F805" s="538" t="s">
        <v>7</v>
      </c>
      <c r="G805" s="538" t="s">
        <v>8</v>
      </c>
      <c r="H805" s="539" t="s">
        <v>263</v>
      </c>
      <c r="I805" s="1127"/>
      <c r="J805" s="611" t="s">
        <v>280</v>
      </c>
      <c r="K805" s="3"/>
    </row>
    <row r="806" spans="2:11">
      <c r="B806" s="61"/>
      <c r="C806" s="2362" t="s">
        <v>959</v>
      </c>
      <c r="D806" s="746">
        <v>1</v>
      </c>
      <c r="E806" s="442">
        <v>90</v>
      </c>
      <c r="F806" s="59">
        <v>92</v>
      </c>
      <c r="G806" s="60">
        <v>383</v>
      </c>
      <c r="H806" s="612">
        <v>2720</v>
      </c>
      <c r="I806" s="613" t="s">
        <v>259</v>
      </c>
      <c r="J806" s="2581">
        <f>(E810*100/E806)-60</f>
        <v>0</v>
      </c>
      <c r="K806" s="3"/>
    </row>
    <row r="807" spans="2:11" ht="13.5" customHeight="1">
      <c r="B807" s="168"/>
      <c r="C807" s="150" t="s">
        <v>145</v>
      </c>
      <c r="D807" s="614"/>
      <c r="E807" s="769"/>
      <c r="F807" s="443"/>
      <c r="G807" s="443"/>
      <c r="H807" s="770"/>
      <c r="I807" s="615" t="s">
        <v>63</v>
      </c>
      <c r="J807" s="2582">
        <f>(F810*100/F806)-60</f>
        <v>0</v>
      </c>
      <c r="K807" s="3"/>
    </row>
    <row r="808" spans="2:11" ht="12.75" customHeight="1">
      <c r="B808" s="751" t="s">
        <v>512</v>
      </c>
      <c r="C808" s="616" t="s">
        <v>285</v>
      </c>
      <c r="D808" s="391">
        <v>0.6</v>
      </c>
      <c r="E808" s="772">
        <v>54</v>
      </c>
      <c r="F808" s="773">
        <v>55.2</v>
      </c>
      <c r="G808" s="773">
        <v>229.8</v>
      </c>
      <c r="H808" s="771">
        <v>1632</v>
      </c>
      <c r="I808" s="615" t="s">
        <v>64</v>
      </c>
      <c r="J808" s="2583">
        <f>(G810*100/G806)-60</f>
        <v>0</v>
      </c>
      <c r="K808" s="3"/>
    </row>
    <row r="809" spans="2:11">
      <c r="B809" s="61"/>
      <c r="C809" s="617"/>
      <c r="D809" s="618"/>
      <c r="E809" s="554"/>
      <c r="F809" s="631"/>
      <c r="G809" s="631"/>
      <c r="H809" s="632"/>
      <c r="I809" s="619" t="s">
        <v>281</v>
      </c>
      <c r="J809" s="2584"/>
      <c r="K809" s="3"/>
    </row>
    <row r="810" spans="2:11" ht="15.75" thickBot="1">
      <c r="B810" s="620"/>
      <c r="C810" s="621" t="s">
        <v>757</v>
      </c>
      <c r="D810" s="622"/>
      <c r="E810" s="220">
        <f>(E486+E541+E595+E650+E703+E760)/6</f>
        <v>54</v>
      </c>
      <c r="F810" s="221">
        <f>(F486+F541+F595+F650+F703+F760)/6</f>
        <v>55.199999999999996</v>
      </c>
      <c r="G810" s="221">
        <f>(G486+G541+G595+G650+G703+G760)/6</f>
        <v>229.79999999999998</v>
      </c>
      <c r="H810" s="633">
        <f>(H486+H541+H595+H650+H703+H760)/6</f>
        <v>1632</v>
      </c>
      <c r="I810" s="623" t="s">
        <v>263</v>
      </c>
      <c r="J810" s="2585">
        <f>(H810*100/H806)-60</f>
        <v>0</v>
      </c>
      <c r="K810" s="3"/>
    </row>
    <row r="811" spans="2:11" ht="15.75" thickBot="1">
      <c r="K811" s="3"/>
    </row>
    <row r="812" spans="2:11" ht="15.75" thickBot="1">
      <c r="B812" s="601" t="s">
        <v>511</v>
      </c>
      <c r="C812" s="58"/>
      <c r="D812" s="602"/>
      <c r="E812" s="397" t="s">
        <v>252</v>
      </c>
      <c r="F812" s="397"/>
      <c r="G812" s="397"/>
      <c r="H812" s="527" t="s">
        <v>253</v>
      </c>
      <c r="I812" s="603" t="s">
        <v>278</v>
      </c>
      <c r="J812" s="604"/>
      <c r="K812" s="3"/>
    </row>
    <row r="813" spans="2:11">
      <c r="B813" s="61"/>
      <c r="C813" s="749" t="s">
        <v>759</v>
      </c>
      <c r="D813" s="605"/>
      <c r="E813" s="606" t="s">
        <v>259</v>
      </c>
      <c r="F813" s="532" t="s">
        <v>63</v>
      </c>
      <c r="G813" s="532" t="s">
        <v>64</v>
      </c>
      <c r="H813" s="529" t="s">
        <v>260</v>
      </c>
      <c r="I813" s="607" t="s">
        <v>45</v>
      </c>
      <c r="J813" s="608" t="s">
        <v>279</v>
      </c>
      <c r="K813" s="3"/>
    </row>
    <row r="814" spans="2:11" ht="15.75" thickBot="1">
      <c r="B814" s="57"/>
      <c r="C814" s="623" t="s">
        <v>484</v>
      </c>
      <c r="D814" s="578"/>
      <c r="E814" s="609" t="s">
        <v>6</v>
      </c>
      <c r="F814" s="538" t="s">
        <v>7</v>
      </c>
      <c r="G814" s="538" t="s">
        <v>8</v>
      </c>
      <c r="H814" s="610" t="s">
        <v>263</v>
      </c>
      <c r="I814" s="568"/>
      <c r="J814" s="611" t="s">
        <v>280</v>
      </c>
      <c r="K814" s="3"/>
    </row>
    <row r="815" spans="2:11">
      <c r="B815" s="61"/>
      <c r="C815" s="2362" t="s">
        <v>959</v>
      </c>
      <c r="D815" s="746">
        <v>1</v>
      </c>
      <c r="E815" s="442">
        <v>90</v>
      </c>
      <c r="F815" s="59">
        <v>92</v>
      </c>
      <c r="G815" s="60">
        <v>383</v>
      </c>
      <c r="H815" s="612">
        <v>2720</v>
      </c>
      <c r="I815" s="613" t="s">
        <v>259</v>
      </c>
      <c r="J815" s="2581">
        <f>(E819*100/E815)-45</f>
        <v>0</v>
      </c>
      <c r="K815" s="3"/>
    </row>
    <row r="816" spans="2:11" ht="12.75" customHeight="1">
      <c r="B816" s="168"/>
      <c r="C816" s="150" t="s">
        <v>145</v>
      </c>
      <c r="D816" s="614"/>
      <c r="E816" s="769"/>
      <c r="F816" s="443"/>
      <c r="G816" s="443"/>
      <c r="H816" s="770"/>
      <c r="I816" s="615" t="s">
        <v>63</v>
      </c>
      <c r="J816" s="2582">
        <f>(F819*100/F815)-45</f>
        <v>0</v>
      </c>
      <c r="K816" s="3"/>
    </row>
    <row r="817" spans="2:15" ht="11.25" customHeight="1">
      <c r="B817" s="751" t="s">
        <v>512</v>
      </c>
      <c r="C817" s="616" t="s">
        <v>473</v>
      </c>
      <c r="D817" s="391">
        <v>0.45</v>
      </c>
      <c r="E817" s="772">
        <v>40.5</v>
      </c>
      <c r="F817" s="773">
        <v>41.4</v>
      </c>
      <c r="G817" s="773">
        <v>172.35</v>
      </c>
      <c r="H817" s="771">
        <v>1224</v>
      </c>
      <c r="I817" s="615" t="s">
        <v>64</v>
      </c>
      <c r="J817" s="2583">
        <f>(G819*100/G815)-45</f>
        <v>0</v>
      </c>
      <c r="K817" s="3"/>
    </row>
    <row r="818" spans="2:15" ht="12" customHeight="1">
      <c r="B818" s="61"/>
      <c r="C818" s="617"/>
      <c r="D818" s="618"/>
      <c r="E818" s="554"/>
      <c r="F818" s="631"/>
      <c r="G818" s="631"/>
      <c r="H818" s="632"/>
      <c r="I818" s="619" t="s">
        <v>281</v>
      </c>
      <c r="J818" s="2584"/>
      <c r="K818" s="3"/>
    </row>
    <row r="819" spans="2:15" ht="12.75" customHeight="1" thickBot="1">
      <c r="B819" s="620"/>
      <c r="C819" s="621" t="s">
        <v>757</v>
      </c>
      <c r="D819" s="622"/>
      <c r="E819" s="220">
        <f>(E490+E545+E599+E654+E707+E764)/6</f>
        <v>40.500000000000007</v>
      </c>
      <c r="F819" s="221">
        <f>(F490+F545+F599+F654+F707+F764)/6</f>
        <v>41.4</v>
      </c>
      <c r="G819" s="221">
        <f>(G490+G545+G599+G654+G707+G764)/6</f>
        <v>172.35</v>
      </c>
      <c r="H819" s="633">
        <f>(H490+H545+H599+H654+H707+H764)/6</f>
        <v>1223.9993333333334</v>
      </c>
      <c r="I819" s="623" t="s">
        <v>263</v>
      </c>
      <c r="J819" s="2585">
        <f>(H819*100/H815)-45</f>
        <v>-2.4509803914440909E-5</v>
      </c>
      <c r="K819" s="3"/>
    </row>
    <row r="820" spans="2:15" ht="13.5" customHeight="1" thickBot="1">
      <c r="K820" s="3"/>
      <c r="O820" s="789"/>
    </row>
    <row r="821" spans="2:15" ht="15.75" thickBot="1">
      <c r="B821" s="601" t="s">
        <v>511</v>
      </c>
      <c r="C821" s="58"/>
      <c r="D821" s="1019" t="s">
        <v>479</v>
      </c>
      <c r="E821" s="397" t="s">
        <v>252</v>
      </c>
      <c r="F821" s="397"/>
      <c r="G821" s="397"/>
      <c r="H821" s="527" t="s">
        <v>253</v>
      </c>
      <c r="I821" s="603" t="s">
        <v>278</v>
      </c>
      <c r="J821" s="604"/>
      <c r="K821" s="3"/>
    </row>
    <row r="822" spans="2:15">
      <c r="B822" s="804" t="s">
        <v>758</v>
      </c>
      <c r="D822" s="605"/>
      <c r="E822" s="606" t="s">
        <v>259</v>
      </c>
      <c r="F822" s="532" t="s">
        <v>63</v>
      </c>
      <c r="G822" s="532" t="s">
        <v>64</v>
      </c>
      <c r="H822" s="529" t="s">
        <v>260</v>
      </c>
      <c r="I822" s="607" t="s">
        <v>45</v>
      </c>
      <c r="J822" s="608" t="s">
        <v>279</v>
      </c>
      <c r="K822" s="3"/>
    </row>
    <row r="823" spans="2:15" ht="15.75" thickBot="1">
      <c r="B823" s="57"/>
      <c r="C823" s="623" t="s">
        <v>484</v>
      </c>
      <c r="D823" s="578"/>
      <c r="E823" s="1026" t="s">
        <v>6</v>
      </c>
      <c r="F823" s="1027" t="s">
        <v>7</v>
      </c>
      <c r="G823" s="1027" t="s">
        <v>8</v>
      </c>
      <c r="H823" s="1028" t="s">
        <v>263</v>
      </c>
      <c r="I823" s="568"/>
      <c r="J823" s="611" t="s">
        <v>280</v>
      </c>
      <c r="K823" s="3"/>
    </row>
    <row r="824" spans="2:15">
      <c r="B824" s="88"/>
      <c r="C824" s="2362" t="s">
        <v>959</v>
      </c>
      <c r="D824" s="1008">
        <v>1</v>
      </c>
      <c r="E824" s="442">
        <v>90</v>
      </c>
      <c r="F824" s="59">
        <v>92</v>
      </c>
      <c r="G824" s="60">
        <v>383</v>
      </c>
      <c r="H824" s="612">
        <v>2720</v>
      </c>
      <c r="I824" s="1005" t="s">
        <v>259</v>
      </c>
      <c r="J824" s="2581">
        <f>(E828*100/E824)-70</f>
        <v>0</v>
      </c>
      <c r="K824" s="3"/>
    </row>
    <row r="825" spans="2:15">
      <c r="B825" s="168"/>
      <c r="C825" s="150" t="s">
        <v>145</v>
      </c>
      <c r="D825" s="614"/>
      <c r="E825" s="769"/>
      <c r="F825" s="443"/>
      <c r="G825" s="443"/>
      <c r="H825" s="770"/>
      <c r="I825" s="615" t="s">
        <v>63</v>
      </c>
      <c r="J825" s="2582">
        <f>(F828*100/F824)-70</f>
        <v>0</v>
      </c>
      <c r="K825" s="3"/>
    </row>
    <row r="826" spans="2:15" ht="15.75">
      <c r="B826" s="751" t="s">
        <v>512</v>
      </c>
      <c r="C826" s="1011" t="s">
        <v>474</v>
      </c>
      <c r="D826" s="1012">
        <v>0.7</v>
      </c>
      <c r="E826" s="1013">
        <v>63</v>
      </c>
      <c r="F826" s="1014">
        <v>64.400000000000006</v>
      </c>
      <c r="G826" s="1014">
        <v>268.10000000000002</v>
      </c>
      <c r="H826" s="1015">
        <v>1904</v>
      </c>
      <c r="I826" s="615" t="s">
        <v>64</v>
      </c>
      <c r="J826" s="2583">
        <f>(G828*100/G824)-70</f>
        <v>0</v>
      </c>
      <c r="K826" s="3"/>
    </row>
    <row r="827" spans="2:15" ht="15.75" thickBot="1">
      <c r="B827" s="57"/>
      <c r="C827" s="1009"/>
      <c r="D827" s="1010"/>
      <c r="E827" s="1017"/>
      <c r="F827" s="1016"/>
      <c r="G827" s="1016"/>
      <c r="H827" s="1018"/>
      <c r="I827" s="619" t="s">
        <v>281</v>
      </c>
      <c r="J827" s="2584"/>
      <c r="K827" s="3"/>
    </row>
    <row r="828" spans="2:15" ht="13.5" customHeight="1" thickBot="1">
      <c r="B828" s="620"/>
      <c r="C828" s="621" t="s">
        <v>757</v>
      </c>
      <c r="D828" s="622"/>
      <c r="E828" s="220">
        <f>(E494+E549+E603+E658+E711+E768)/6</f>
        <v>63</v>
      </c>
      <c r="F828" s="221">
        <f>(F494+F549+F603+F658+F711+F768)/6</f>
        <v>64.399999999999991</v>
      </c>
      <c r="G828" s="221">
        <f>(G494+G549+G603+G658+G711+G768)/6</f>
        <v>268.09999999999997</v>
      </c>
      <c r="H828" s="633">
        <f>(H494+H549+H603+H658+H711+H768)/6</f>
        <v>1903.9993333333334</v>
      </c>
      <c r="I828" s="1006" t="s">
        <v>263</v>
      </c>
      <c r="J828" s="2585">
        <f>(H828*100/H824)-70</f>
        <v>-2.4509803921546336E-5</v>
      </c>
      <c r="K828" s="3"/>
    </row>
    <row r="829" spans="2:15" ht="12" customHeight="1">
      <c r="K829" s="3"/>
    </row>
    <row r="830" spans="2:15">
      <c r="K830" s="3"/>
    </row>
    <row r="831" spans="2:15" ht="14.25" customHeight="1">
      <c r="C831" s="658" t="s">
        <v>483</v>
      </c>
      <c r="D831" s="5" t="s">
        <v>286</v>
      </c>
      <c r="K831" s="3"/>
    </row>
    <row r="832" spans="2:15">
      <c r="C832" s="171" t="s">
        <v>686</v>
      </c>
      <c r="K832" s="3"/>
    </row>
    <row r="833" spans="2:20">
      <c r="C833" s="1" t="s">
        <v>359</v>
      </c>
      <c r="D833"/>
      <c r="E833"/>
      <c r="F833"/>
      <c r="I833"/>
      <c r="J833"/>
      <c r="K833" s="3"/>
    </row>
    <row r="834" spans="2:20">
      <c r="C834" s="19" t="s">
        <v>282</v>
      </c>
      <c r="E834"/>
      <c r="F834"/>
      <c r="G834" s="19"/>
      <c r="H834" s="19"/>
      <c r="I834" s="13"/>
      <c r="J834" s="13"/>
      <c r="K834" s="3"/>
    </row>
    <row r="835" spans="2:20" ht="16.5" thickBot="1">
      <c r="B835" s="43"/>
      <c r="E835" s="20" t="s">
        <v>0</v>
      </c>
      <c r="F835"/>
      <c r="G835" s="13" t="s">
        <v>787</v>
      </c>
      <c r="H835" s="13"/>
      <c r="I835" s="13"/>
      <c r="K835" s="3"/>
    </row>
    <row r="836" spans="2:20" ht="15.75" thickBot="1">
      <c r="B836" s="601" t="s">
        <v>511</v>
      </c>
      <c r="C836" s="58"/>
      <c r="D836" s="602"/>
      <c r="E836" s="397" t="s">
        <v>252</v>
      </c>
      <c r="F836" s="397"/>
      <c r="G836" s="397"/>
      <c r="H836" s="527" t="s">
        <v>253</v>
      </c>
      <c r="I836" s="603" t="s">
        <v>278</v>
      </c>
      <c r="J836" s="604"/>
      <c r="K836" s="3"/>
    </row>
    <row r="837" spans="2:20">
      <c r="B837" s="61"/>
      <c r="C837" s="749" t="s">
        <v>477</v>
      </c>
      <c r="D837" s="605"/>
      <c r="E837" s="606" t="s">
        <v>259</v>
      </c>
      <c r="F837" s="532" t="s">
        <v>63</v>
      </c>
      <c r="G837" s="532" t="s">
        <v>64</v>
      </c>
      <c r="H837" s="529" t="s">
        <v>260</v>
      </c>
      <c r="I837" s="607" t="s">
        <v>45</v>
      </c>
      <c r="J837" s="608" t="s">
        <v>279</v>
      </c>
      <c r="K837" s="3"/>
    </row>
    <row r="838" spans="2:20" ht="16.5" thickBot="1">
      <c r="B838" s="57"/>
      <c r="C838" s="803"/>
      <c r="D838" s="578"/>
      <c r="E838" s="609" t="s">
        <v>6</v>
      </c>
      <c r="F838" s="538" t="s">
        <v>7</v>
      </c>
      <c r="G838" s="538" t="s">
        <v>8</v>
      </c>
      <c r="H838" s="610" t="s">
        <v>263</v>
      </c>
      <c r="I838" s="568"/>
      <c r="J838" s="611" t="s">
        <v>280</v>
      </c>
      <c r="K838" s="3"/>
    </row>
    <row r="839" spans="2:20" ht="13.5" customHeight="1">
      <c r="B839" s="88"/>
      <c r="C839" s="2362" t="s">
        <v>959</v>
      </c>
      <c r="D839" s="1008">
        <v>1</v>
      </c>
      <c r="E839" s="442">
        <v>90</v>
      </c>
      <c r="F839" s="59">
        <v>92</v>
      </c>
      <c r="G839" s="60">
        <v>383</v>
      </c>
      <c r="H839" s="612">
        <v>2720</v>
      </c>
      <c r="I839" s="613" t="s">
        <v>259</v>
      </c>
      <c r="J839" s="2581">
        <f>(E843*100/E839)-25</f>
        <v>0</v>
      </c>
      <c r="K839" s="3"/>
      <c r="P839" s="19"/>
      <c r="Q839" s="19"/>
      <c r="R839" s="783"/>
      <c r="S839" s="14"/>
      <c r="T839" s="1"/>
    </row>
    <row r="840" spans="2:20" ht="12.75" customHeight="1">
      <c r="B840" s="168"/>
      <c r="C840" s="150" t="s">
        <v>145</v>
      </c>
      <c r="D840" s="614"/>
      <c r="E840" s="769"/>
      <c r="F840" s="443"/>
      <c r="G840" s="443"/>
      <c r="H840" s="770"/>
      <c r="I840" s="615" t="s">
        <v>63</v>
      </c>
      <c r="J840" s="2582">
        <f>(F843*100/F839)-25</f>
        <v>2.7173913050404508E-5</v>
      </c>
      <c r="K840" s="3"/>
      <c r="P840" s="785"/>
      <c r="Q840" s="785"/>
      <c r="R840" s="175"/>
      <c r="S840" s="22"/>
      <c r="T840" s="22"/>
    </row>
    <row r="841" spans="2:20" ht="12" customHeight="1">
      <c r="B841" s="751" t="s">
        <v>512</v>
      </c>
      <c r="C841" s="616" t="s">
        <v>475</v>
      </c>
      <c r="D841" s="391">
        <v>0.25</v>
      </c>
      <c r="E841" s="772">
        <v>22.5</v>
      </c>
      <c r="F841" s="773">
        <v>23</v>
      </c>
      <c r="G841" s="773">
        <v>95.75</v>
      </c>
      <c r="H841" s="771">
        <v>680</v>
      </c>
      <c r="I841" s="615" t="s">
        <v>64</v>
      </c>
      <c r="J841" s="2583">
        <f>(G843*100/G839)-25</f>
        <v>0</v>
      </c>
      <c r="K841" s="3"/>
      <c r="P841" s="787"/>
      <c r="Q841" s="787"/>
      <c r="R841" s="18"/>
      <c r="S841" s="1"/>
      <c r="T841" s="22"/>
    </row>
    <row r="842" spans="2:20">
      <c r="B842" s="61"/>
      <c r="C842" s="617"/>
      <c r="D842" s="618"/>
      <c r="E842" s="554"/>
      <c r="F842" s="631"/>
      <c r="G842" s="631"/>
      <c r="H842" s="632"/>
      <c r="I842" s="619" t="s">
        <v>281</v>
      </c>
      <c r="J842" s="2584"/>
      <c r="K842" s="3"/>
      <c r="P842" s="723"/>
      <c r="Q842" s="724"/>
      <c r="R842" s="724"/>
      <c r="S842" s="785"/>
      <c r="T842" s="176"/>
    </row>
    <row r="843" spans="2:20" ht="15.75" thickBot="1">
      <c r="B843" s="620"/>
      <c r="C843" s="621" t="s">
        <v>756</v>
      </c>
      <c r="D843" s="622"/>
      <c r="E843" s="220">
        <f>(E74+E128+E184+E238+E291+E462+E347+E515+E570+E623+E677+E733)/12</f>
        <v>22.5</v>
      </c>
      <c r="F843" s="221">
        <f>(F74+F128+F184+F238+F291+F462+F347+F515+F570+F623+F677+F733)/12</f>
        <v>23.000025000000004</v>
      </c>
      <c r="G843" s="221">
        <f>(G74+G128+G184+G238+G291+G462+G347+G515+G570+G623+G677+G733)/12</f>
        <v>95.750000000000014</v>
      </c>
      <c r="H843" s="633">
        <f>(H74+H128+H184+H238+H291+H462+H347+H515+H570+H623+H677+H733)/12</f>
        <v>680.00001666666674</v>
      </c>
      <c r="I843" s="623" t="s">
        <v>263</v>
      </c>
      <c r="J843" s="2585">
        <f>(H843*100/H839)-25</f>
        <v>6.1274510088082934E-7</v>
      </c>
      <c r="K843" s="3"/>
      <c r="P843" s="725"/>
      <c r="Q843" s="725"/>
      <c r="R843" s="725"/>
      <c r="S843" s="785"/>
      <c r="T843" s="176"/>
    </row>
    <row r="844" spans="2:20" ht="15.75" thickBot="1">
      <c r="K844" s="3"/>
      <c r="P844" s="1289"/>
      <c r="Q844" s="1289"/>
      <c r="R844" s="1289"/>
      <c r="S844" s="785"/>
      <c r="T844" s="176"/>
    </row>
    <row r="845" spans="2:20" ht="12.75" customHeight="1" thickBot="1">
      <c r="B845" s="601" t="s">
        <v>511</v>
      </c>
      <c r="C845" s="58"/>
      <c r="D845" s="602"/>
      <c r="E845" s="397" t="s">
        <v>252</v>
      </c>
      <c r="F845" s="397"/>
      <c r="G845" s="397"/>
      <c r="H845" s="527" t="s">
        <v>253</v>
      </c>
      <c r="I845" s="603" t="s">
        <v>278</v>
      </c>
      <c r="J845" s="604"/>
      <c r="K845" s="3"/>
      <c r="P845" s="722"/>
      <c r="Q845" s="722"/>
      <c r="R845" s="722"/>
      <c r="S845" s="203"/>
      <c r="T845" s="176"/>
    </row>
    <row r="846" spans="2:20">
      <c r="B846" s="61"/>
      <c r="C846" s="749" t="s">
        <v>762</v>
      </c>
      <c r="D846" s="605"/>
      <c r="E846" s="606" t="s">
        <v>259</v>
      </c>
      <c r="F846" s="532" t="s">
        <v>63</v>
      </c>
      <c r="G846" s="532" t="s">
        <v>64</v>
      </c>
      <c r="H846" s="529" t="s">
        <v>260</v>
      </c>
      <c r="I846" s="607" t="s">
        <v>45</v>
      </c>
      <c r="J846" s="608" t="s">
        <v>279</v>
      </c>
      <c r="K846" s="3"/>
      <c r="P846" s="727"/>
      <c r="Q846" s="727"/>
      <c r="R846" s="727"/>
      <c r="S846" s="203"/>
      <c r="T846" s="740"/>
    </row>
    <row r="847" spans="2:20" ht="12" customHeight="1" thickBot="1">
      <c r="B847" s="57"/>
      <c r="C847" s="803"/>
      <c r="D847" s="578"/>
      <c r="E847" s="609" t="s">
        <v>6</v>
      </c>
      <c r="F847" s="538" t="s">
        <v>7</v>
      </c>
      <c r="G847" s="538" t="s">
        <v>8</v>
      </c>
      <c r="H847" s="610" t="s">
        <v>263</v>
      </c>
      <c r="I847" s="568"/>
      <c r="J847" s="611" t="s">
        <v>280</v>
      </c>
      <c r="K847" s="3"/>
      <c r="Q847" s="1"/>
      <c r="R847" s="1"/>
      <c r="S847" s="1"/>
      <c r="T847" s="1"/>
    </row>
    <row r="848" spans="2:20" ht="13.5" customHeight="1">
      <c r="B848" s="61"/>
      <c r="C848" s="2362" t="s">
        <v>959</v>
      </c>
      <c r="D848" s="746">
        <v>1</v>
      </c>
      <c r="E848" s="442">
        <v>90</v>
      </c>
      <c r="F848" s="59">
        <v>92</v>
      </c>
      <c r="G848" s="60">
        <v>383</v>
      </c>
      <c r="H848" s="612">
        <v>2720</v>
      </c>
      <c r="I848" s="613" t="s">
        <v>259</v>
      </c>
      <c r="J848" s="2581">
        <f>(E852*100/E848)-35</f>
        <v>0</v>
      </c>
      <c r="K848" s="3"/>
      <c r="P848" s="19"/>
      <c r="Q848" s="19"/>
      <c r="R848" s="783"/>
      <c r="S848" s="14"/>
      <c r="T848" s="1"/>
    </row>
    <row r="849" spans="2:20" ht="12" customHeight="1">
      <c r="B849" s="168"/>
      <c r="C849" s="150" t="s">
        <v>145</v>
      </c>
      <c r="D849" s="614"/>
      <c r="E849" s="769"/>
      <c r="F849" s="443"/>
      <c r="G849" s="443"/>
      <c r="H849" s="770"/>
      <c r="I849" s="615" t="s">
        <v>63</v>
      </c>
      <c r="J849" s="2582">
        <f>(F852*100/F848)-35</f>
        <v>0</v>
      </c>
      <c r="K849" s="3"/>
      <c r="P849" s="785"/>
      <c r="Q849" s="785"/>
      <c r="R849" s="175"/>
      <c r="S849" s="22"/>
      <c r="T849" s="22"/>
    </row>
    <row r="850" spans="2:20" ht="11.25" customHeight="1">
      <c r="B850" s="751" t="s">
        <v>512</v>
      </c>
      <c r="C850" s="616" t="s">
        <v>476</v>
      </c>
      <c r="D850" s="391">
        <v>0.35</v>
      </c>
      <c r="E850" s="772">
        <v>31.5</v>
      </c>
      <c r="F850" s="773">
        <v>32.200000000000003</v>
      </c>
      <c r="G850" s="773">
        <v>134.05000000000001</v>
      </c>
      <c r="H850" s="771">
        <v>952</v>
      </c>
      <c r="I850" s="615" t="s">
        <v>64</v>
      </c>
      <c r="J850" s="2583">
        <f>(G852*100/G848)-35</f>
        <v>0</v>
      </c>
      <c r="K850" s="3"/>
      <c r="P850" s="787"/>
      <c r="Q850" s="787"/>
      <c r="R850" s="18"/>
      <c r="S850" s="1"/>
      <c r="T850" s="22"/>
    </row>
    <row r="851" spans="2:20">
      <c r="B851" s="61"/>
      <c r="C851" s="617"/>
      <c r="D851" s="618"/>
      <c r="E851" s="554"/>
      <c r="F851" s="631"/>
      <c r="G851" s="631"/>
      <c r="H851" s="632"/>
      <c r="I851" s="619" t="s">
        <v>281</v>
      </c>
      <c r="J851" s="2584"/>
      <c r="K851" s="3"/>
      <c r="P851" s="723"/>
      <c r="Q851" s="724"/>
      <c r="R851" s="724"/>
      <c r="S851" s="785"/>
      <c r="T851" s="740"/>
    </row>
    <row r="852" spans="2:20" ht="12.75" customHeight="1" thickBot="1">
      <c r="B852" s="620"/>
      <c r="C852" s="621" t="s">
        <v>756</v>
      </c>
      <c r="D852" s="622"/>
      <c r="E852" s="220">
        <f>(E85+E139+E196+E249+E304+E359+E473+E527+E581+E636+E689+E746)/12</f>
        <v>31.5</v>
      </c>
      <c r="F852" s="221">
        <f>(F85+F139+F196+F249+F304+F359+F473+F527+F581+F636+F689+F746)/12</f>
        <v>32.200000000000003</v>
      </c>
      <c r="G852" s="221">
        <f>(G85+G139+G196+G249+G304+G359+G473+G527+G581+G636+G689+G746)/12</f>
        <v>134.04999999999998</v>
      </c>
      <c r="H852" s="633">
        <f>(H85+H139+H196+H249+H304+H359+H473+H527+H581+H636+H689+H746)/12</f>
        <v>952.00000000000011</v>
      </c>
      <c r="I852" s="623" t="s">
        <v>263</v>
      </c>
      <c r="J852" s="2585">
        <f>(H852*100/H848)-35</f>
        <v>0</v>
      </c>
      <c r="K852" s="3"/>
      <c r="P852" s="725"/>
      <c r="Q852" s="725"/>
      <c r="R852" s="725"/>
      <c r="S852" s="785"/>
      <c r="T852" s="740"/>
    </row>
    <row r="853" spans="2:20" ht="15.75" thickBot="1">
      <c r="K853" s="3"/>
      <c r="P853" s="1289"/>
      <c r="Q853" s="1289"/>
      <c r="R853" s="1289"/>
      <c r="S853" s="785"/>
      <c r="T853" s="740"/>
    </row>
    <row r="854" spans="2:20" ht="13.5" customHeight="1" thickBot="1">
      <c r="B854" s="601" t="s">
        <v>511</v>
      </c>
      <c r="C854" s="58"/>
      <c r="D854" s="602"/>
      <c r="E854" s="397" t="s">
        <v>252</v>
      </c>
      <c r="F854" s="397"/>
      <c r="G854" s="397"/>
      <c r="H854" s="527" t="s">
        <v>253</v>
      </c>
      <c r="I854" s="603" t="s">
        <v>278</v>
      </c>
      <c r="J854" s="604"/>
      <c r="K854" s="3"/>
      <c r="P854" s="722"/>
      <c r="Q854" s="722"/>
      <c r="R854" s="722"/>
      <c r="S854" s="203"/>
      <c r="T854" s="740"/>
    </row>
    <row r="855" spans="2:20">
      <c r="B855" s="61"/>
      <c r="C855" s="749" t="s">
        <v>761</v>
      </c>
      <c r="D855" s="605"/>
      <c r="E855" s="606" t="s">
        <v>259</v>
      </c>
      <c r="F855" s="532" t="s">
        <v>63</v>
      </c>
      <c r="G855" s="532" t="s">
        <v>64</v>
      </c>
      <c r="H855" s="529" t="s">
        <v>260</v>
      </c>
      <c r="I855" s="607" t="s">
        <v>45</v>
      </c>
      <c r="J855" s="608" t="s">
        <v>279</v>
      </c>
      <c r="K855" s="3"/>
      <c r="P855" s="727"/>
      <c r="Q855" s="727"/>
      <c r="R855" s="727"/>
      <c r="S855" s="203"/>
      <c r="T855" s="740"/>
    </row>
    <row r="856" spans="2:20" ht="16.5" thickBot="1">
      <c r="B856" s="57"/>
      <c r="C856" s="803"/>
      <c r="D856" s="578"/>
      <c r="E856" s="609" t="s">
        <v>6</v>
      </c>
      <c r="F856" s="538" t="s">
        <v>7</v>
      </c>
      <c r="G856" s="538" t="s">
        <v>8</v>
      </c>
      <c r="H856" s="610" t="s">
        <v>263</v>
      </c>
      <c r="I856" s="568"/>
      <c r="J856" s="611" t="s">
        <v>280</v>
      </c>
      <c r="K856" s="3"/>
      <c r="Q856" s="1"/>
      <c r="R856" s="1"/>
      <c r="S856" s="1"/>
      <c r="T856" s="1"/>
    </row>
    <row r="857" spans="2:20" ht="13.5" customHeight="1">
      <c r="B857" s="61"/>
      <c r="C857" s="2362" t="s">
        <v>959</v>
      </c>
      <c r="D857" s="746">
        <v>1</v>
      </c>
      <c r="E857" s="442">
        <v>90</v>
      </c>
      <c r="F857" s="59">
        <v>92</v>
      </c>
      <c r="G857" s="60">
        <v>383</v>
      </c>
      <c r="H857" s="612">
        <v>2720</v>
      </c>
      <c r="I857" s="613" t="s">
        <v>259</v>
      </c>
      <c r="J857" s="2581">
        <f>(E861*100/E857)-10</f>
        <v>0</v>
      </c>
      <c r="K857" s="3"/>
      <c r="P857" s="19"/>
      <c r="Q857" s="19"/>
      <c r="R857" s="783"/>
      <c r="S857" s="14"/>
      <c r="T857" s="1"/>
    </row>
    <row r="858" spans="2:20" ht="12.75" customHeight="1">
      <c r="B858" s="168"/>
      <c r="C858" s="150" t="s">
        <v>145</v>
      </c>
      <c r="D858" s="614"/>
      <c r="E858" s="769"/>
      <c r="F858" s="443"/>
      <c r="G858" s="443"/>
      <c r="H858" s="770"/>
      <c r="I858" s="615" t="s">
        <v>63</v>
      </c>
      <c r="J858" s="2582">
        <f>(F861*100/F857)-10</f>
        <v>0</v>
      </c>
      <c r="K858" s="3"/>
      <c r="P858" s="785"/>
      <c r="Q858" s="785"/>
      <c r="R858" s="175"/>
      <c r="S858" s="22"/>
      <c r="T858" s="22"/>
    </row>
    <row r="859" spans="2:20" ht="12" customHeight="1">
      <c r="B859" s="751" t="s">
        <v>512</v>
      </c>
      <c r="C859" s="616" t="s">
        <v>472</v>
      </c>
      <c r="D859" s="391">
        <v>0.1</v>
      </c>
      <c r="E859" s="772">
        <v>9</v>
      </c>
      <c r="F859" s="773">
        <v>9.1999999999999993</v>
      </c>
      <c r="G859" s="773">
        <v>38.299999999999997</v>
      </c>
      <c r="H859" s="771">
        <v>272</v>
      </c>
      <c r="I859" s="615" t="s">
        <v>64</v>
      </c>
      <c r="J859" s="2583">
        <f>(G861*100/G857)-10</f>
        <v>0</v>
      </c>
      <c r="K859" s="3"/>
      <c r="P859" s="787"/>
      <c r="Q859" s="787"/>
      <c r="R859" s="18"/>
      <c r="S859" s="1"/>
      <c r="T859" s="22"/>
    </row>
    <row r="860" spans="2:20" ht="12.75" customHeight="1">
      <c r="B860" s="61"/>
      <c r="C860" s="617"/>
      <c r="D860" s="618"/>
      <c r="E860" s="554"/>
      <c r="F860" s="631"/>
      <c r="G860" s="631"/>
      <c r="H860" s="632"/>
      <c r="I860" s="619" t="s">
        <v>281</v>
      </c>
      <c r="J860" s="2584"/>
      <c r="K860" s="3"/>
      <c r="P860" s="723"/>
      <c r="Q860" s="724"/>
      <c r="R860" s="724"/>
      <c r="S860" s="785"/>
      <c r="T860" s="176"/>
    </row>
    <row r="861" spans="2:20" ht="12" customHeight="1" thickBot="1">
      <c r="B861" s="620"/>
      <c r="C861" s="621" t="s">
        <v>756</v>
      </c>
      <c r="D861" s="622"/>
      <c r="E861" s="220">
        <f>(E92+E146+E204+E256+E311+E366+E479+E534+E588+E643+E696+E753)/12</f>
        <v>9</v>
      </c>
      <c r="F861" s="221">
        <f>(F92+F146+F204+F256+F311+F366+F479+F534+F588+F643+F696+F753)/12</f>
        <v>9.1999999999999993</v>
      </c>
      <c r="G861" s="221">
        <f>(G92+G146+G204+G256+G311+G366+G479+G534+G588+G643+G696+G753)/12</f>
        <v>38.300000000000004</v>
      </c>
      <c r="H861" s="633">
        <f>(H92+H146+H204+H256+H311+H366+H479+H534+H588+H643+H696+H753)/12</f>
        <v>271.99966666666671</v>
      </c>
      <c r="I861" s="623" t="s">
        <v>263</v>
      </c>
      <c r="J861" s="2585">
        <f>(H861*100/H857)-10</f>
        <v>-1.2254901958996811E-5</v>
      </c>
      <c r="K861" s="3"/>
      <c r="P861" s="725"/>
      <c r="Q861" s="725"/>
      <c r="R861" s="725"/>
      <c r="S861" s="785"/>
      <c r="T861" s="176"/>
    </row>
    <row r="862" spans="2:20" ht="15.75" thickBot="1">
      <c r="K862" s="3"/>
      <c r="P862" s="1289"/>
      <c r="Q862" s="1289"/>
      <c r="R862" s="1289"/>
      <c r="S862" s="785"/>
      <c r="T862" s="176"/>
    </row>
    <row r="863" spans="2:20" ht="13.5" customHeight="1" thickBot="1">
      <c r="B863" s="601" t="s">
        <v>511</v>
      </c>
      <c r="C863" s="58"/>
      <c r="D863" s="602"/>
      <c r="E863" s="397" t="s">
        <v>252</v>
      </c>
      <c r="F863" s="397"/>
      <c r="G863" s="397"/>
      <c r="H863" s="527" t="s">
        <v>253</v>
      </c>
      <c r="I863" s="603" t="s">
        <v>278</v>
      </c>
      <c r="J863" s="604"/>
      <c r="K863" s="3"/>
      <c r="P863" s="722"/>
      <c r="Q863" s="722"/>
      <c r="R863" s="722"/>
      <c r="S863" s="203"/>
      <c r="T863" s="176"/>
    </row>
    <row r="864" spans="2:20">
      <c r="B864" s="61"/>
      <c r="C864" s="749" t="s">
        <v>760</v>
      </c>
      <c r="D864" s="605"/>
      <c r="E864" s="606" t="s">
        <v>259</v>
      </c>
      <c r="F864" s="532" t="s">
        <v>63</v>
      </c>
      <c r="G864" s="532" t="s">
        <v>64</v>
      </c>
      <c r="H864" s="529" t="s">
        <v>260</v>
      </c>
      <c r="I864" s="607" t="s">
        <v>45</v>
      </c>
      <c r="J864" s="608" t="s">
        <v>279</v>
      </c>
      <c r="K864" s="3"/>
      <c r="P864" s="727"/>
      <c r="Q864" s="727"/>
      <c r="R864" s="727"/>
      <c r="S864" s="203"/>
      <c r="T864" s="740"/>
    </row>
    <row r="865" spans="2:20" ht="12.75" customHeight="1" thickBot="1">
      <c r="B865" s="57"/>
      <c r="C865" s="803"/>
      <c r="D865" s="578"/>
      <c r="E865" s="1026" t="s">
        <v>6</v>
      </c>
      <c r="F865" s="1027" t="s">
        <v>7</v>
      </c>
      <c r="G865" s="1027" t="s">
        <v>8</v>
      </c>
      <c r="H865" s="1028" t="s">
        <v>263</v>
      </c>
      <c r="I865" s="568"/>
      <c r="J865" s="611" t="s">
        <v>280</v>
      </c>
      <c r="K865" s="3"/>
      <c r="Q865" s="1"/>
      <c r="R865" s="1"/>
      <c r="S865" s="1"/>
      <c r="T865" s="1"/>
    </row>
    <row r="866" spans="2:20" ht="13.5" customHeight="1">
      <c r="B866" s="61"/>
      <c r="C866" s="2362" t="s">
        <v>959</v>
      </c>
      <c r="D866" s="746">
        <v>1</v>
      </c>
      <c r="E866" s="442">
        <v>90</v>
      </c>
      <c r="F866" s="59">
        <v>92</v>
      </c>
      <c r="G866" s="60">
        <v>383</v>
      </c>
      <c r="H866" s="612">
        <v>2720</v>
      </c>
      <c r="I866" s="613" t="s">
        <v>259</v>
      </c>
      <c r="J866" s="2581">
        <f>(E870*100/E866)-60</f>
        <v>0</v>
      </c>
      <c r="K866" s="3"/>
      <c r="P866" s="19"/>
      <c r="Q866" s="19"/>
      <c r="R866" s="783"/>
      <c r="S866" s="14"/>
      <c r="T866" s="1"/>
    </row>
    <row r="867" spans="2:20" ht="12.75" customHeight="1">
      <c r="B867" s="168"/>
      <c r="C867" s="150" t="s">
        <v>145</v>
      </c>
      <c r="D867" s="614"/>
      <c r="E867" s="769"/>
      <c r="F867" s="443"/>
      <c r="G867" s="443"/>
      <c r="H867" s="770"/>
      <c r="I867" s="615" t="s">
        <v>63</v>
      </c>
      <c r="J867" s="2582">
        <f>(F870*100/F866)-60</f>
        <v>2.7173913046851794E-5</v>
      </c>
      <c r="K867" s="3"/>
      <c r="P867" s="785"/>
      <c r="Q867" s="785"/>
      <c r="R867" s="175"/>
      <c r="S867" s="22"/>
      <c r="T867" s="22"/>
    </row>
    <row r="868" spans="2:20" ht="12.75" customHeight="1">
      <c r="B868" s="751" t="s">
        <v>512</v>
      </c>
      <c r="C868" s="616" t="s">
        <v>285</v>
      </c>
      <c r="D868" s="391">
        <v>0.6</v>
      </c>
      <c r="E868" s="772">
        <v>54</v>
      </c>
      <c r="F868" s="773">
        <v>55.2</v>
      </c>
      <c r="G868" s="773">
        <v>229.8</v>
      </c>
      <c r="H868" s="771">
        <v>1632</v>
      </c>
      <c r="I868" s="615" t="s">
        <v>64</v>
      </c>
      <c r="J868" s="2583">
        <f>(G870*100/G866)-60</f>
        <v>0</v>
      </c>
      <c r="K868" s="3"/>
      <c r="P868" s="787"/>
      <c r="Q868" s="787"/>
      <c r="R868" s="18"/>
      <c r="S868" s="1"/>
      <c r="T868" s="22"/>
    </row>
    <row r="869" spans="2:20" ht="13.5" customHeight="1">
      <c r="B869" s="61"/>
      <c r="C869" s="617"/>
      <c r="D869" s="618"/>
      <c r="E869" s="219"/>
      <c r="F869" s="1447"/>
      <c r="G869" s="1447"/>
      <c r="H869" s="1448"/>
      <c r="I869" s="619" t="s">
        <v>281</v>
      </c>
      <c r="J869" s="2584"/>
      <c r="K869" s="3"/>
      <c r="P869" s="723"/>
      <c r="Q869" s="724"/>
      <c r="R869" s="724"/>
      <c r="S869" s="785"/>
      <c r="T869" s="176"/>
    </row>
    <row r="870" spans="2:20" ht="12.75" customHeight="1" thickBot="1">
      <c r="B870" s="620"/>
      <c r="C870" s="621" t="s">
        <v>756</v>
      </c>
      <c r="D870" s="622"/>
      <c r="E870" s="220">
        <f>(E100+E153+E211+E263+E318+E373+E486+E541+E595+E650+E703+E760)/12</f>
        <v>54.000000000000007</v>
      </c>
      <c r="F870" s="221">
        <f>(F100+F153+F211+F263+F318+F373+F486+F541+F595+F650+F703+F760)/12</f>
        <v>55.200025000000004</v>
      </c>
      <c r="G870" s="221">
        <f>(G100+G153+G211+G263+G318+G373+G486+G541+G595+G650+G703+G760)/12</f>
        <v>229.80000000000004</v>
      </c>
      <c r="H870" s="633">
        <f>(H100+H153+H211+H263+H318+H373+H486+H541+H595+H650+H703+H760)/12</f>
        <v>1632.0000166666666</v>
      </c>
      <c r="I870" s="623" t="s">
        <v>263</v>
      </c>
      <c r="J870" s="2585">
        <f>(H870*100/H866)-60</f>
        <v>6.127450902226883E-7</v>
      </c>
      <c r="K870" s="3"/>
      <c r="P870" s="725"/>
      <c r="Q870" s="725"/>
      <c r="R870" s="725"/>
      <c r="S870" s="785"/>
      <c r="T870" s="176"/>
    </row>
    <row r="871" spans="2:20" ht="12.75" customHeight="1" thickBot="1">
      <c r="K871" s="3"/>
      <c r="P871" s="1289"/>
      <c r="Q871" s="1289"/>
      <c r="R871" s="1289"/>
      <c r="S871" s="785"/>
      <c r="T871" s="176"/>
    </row>
    <row r="872" spans="2:20" ht="12.75" customHeight="1" thickBot="1">
      <c r="B872" s="601" t="s">
        <v>511</v>
      </c>
      <c r="C872" s="58"/>
      <c r="D872" s="602"/>
      <c r="E872" s="397" t="s">
        <v>252</v>
      </c>
      <c r="F872" s="397"/>
      <c r="G872" s="397"/>
      <c r="H872" s="527" t="s">
        <v>253</v>
      </c>
      <c r="I872" s="603" t="s">
        <v>278</v>
      </c>
      <c r="J872" s="604"/>
      <c r="K872" s="3"/>
      <c r="P872" s="722"/>
      <c r="Q872" s="722"/>
      <c r="R872" s="722"/>
      <c r="S872" s="203"/>
      <c r="T872" s="176"/>
    </row>
    <row r="873" spans="2:20">
      <c r="B873" s="61"/>
      <c r="C873" s="749" t="s">
        <v>759</v>
      </c>
      <c r="D873" s="605"/>
      <c r="E873" s="606" t="s">
        <v>259</v>
      </c>
      <c r="F873" s="532" t="s">
        <v>63</v>
      </c>
      <c r="G873" s="532" t="s">
        <v>64</v>
      </c>
      <c r="H873" s="529" t="s">
        <v>260</v>
      </c>
      <c r="I873" s="607" t="s">
        <v>45</v>
      </c>
      <c r="J873" s="608" t="s">
        <v>279</v>
      </c>
      <c r="K873" s="3"/>
      <c r="P873" s="727"/>
      <c r="Q873" s="727"/>
      <c r="R873" s="727"/>
      <c r="S873" s="203"/>
      <c r="T873" s="176"/>
    </row>
    <row r="874" spans="2:20" ht="13.5" customHeight="1" thickBot="1">
      <c r="B874" s="57"/>
      <c r="C874" s="803"/>
      <c r="D874" s="578"/>
      <c r="E874" s="609" t="s">
        <v>6</v>
      </c>
      <c r="F874" s="538" t="s">
        <v>7</v>
      </c>
      <c r="G874" s="538" t="s">
        <v>8</v>
      </c>
      <c r="H874" s="610" t="s">
        <v>263</v>
      </c>
      <c r="I874" s="568"/>
      <c r="J874" s="611" t="s">
        <v>280</v>
      </c>
      <c r="K874" s="3"/>
      <c r="Q874" s="1"/>
      <c r="R874" s="1"/>
      <c r="S874" s="1"/>
      <c r="T874" s="1"/>
    </row>
    <row r="875" spans="2:20">
      <c r="B875" s="61"/>
      <c r="C875" s="2362" t="s">
        <v>959</v>
      </c>
      <c r="D875" s="746">
        <v>1</v>
      </c>
      <c r="E875" s="442">
        <v>90</v>
      </c>
      <c r="F875" s="59">
        <v>92</v>
      </c>
      <c r="G875" s="60">
        <v>383</v>
      </c>
      <c r="H875" s="612">
        <v>2720</v>
      </c>
      <c r="I875" s="613" t="s">
        <v>259</v>
      </c>
      <c r="J875" s="2581">
        <f>(E879*100/E875)-45</f>
        <v>0</v>
      </c>
      <c r="K875" s="3"/>
      <c r="P875" s="19"/>
      <c r="Q875" s="19"/>
      <c r="R875" s="783"/>
      <c r="S875" s="14"/>
      <c r="T875" s="1"/>
    </row>
    <row r="876" spans="2:20" ht="12.75" customHeight="1">
      <c r="B876" s="168"/>
      <c r="C876" s="150" t="s">
        <v>145</v>
      </c>
      <c r="D876" s="614"/>
      <c r="E876" s="769"/>
      <c r="F876" s="443"/>
      <c r="G876" s="443"/>
      <c r="H876" s="770"/>
      <c r="I876" s="615" t="s">
        <v>63</v>
      </c>
      <c r="J876" s="2582">
        <f>(F879*100/F875)-45</f>
        <v>0</v>
      </c>
      <c r="K876" s="3"/>
      <c r="P876" s="785"/>
      <c r="Q876" s="785"/>
      <c r="R876" s="175"/>
      <c r="S876" s="22"/>
      <c r="T876" s="22"/>
    </row>
    <row r="877" spans="2:20" ht="12" customHeight="1">
      <c r="B877" s="751" t="s">
        <v>512</v>
      </c>
      <c r="C877" s="616" t="s">
        <v>473</v>
      </c>
      <c r="D877" s="391">
        <v>0.45</v>
      </c>
      <c r="E877" s="772">
        <v>40.5</v>
      </c>
      <c r="F877" s="773">
        <v>41.4</v>
      </c>
      <c r="G877" s="773">
        <v>172.35</v>
      </c>
      <c r="H877" s="771">
        <v>1224</v>
      </c>
      <c r="I877" s="615" t="s">
        <v>64</v>
      </c>
      <c r="J877" s="2583">
        <f>(G879*100/G875)-45</f>
        <v>0</v>
      </c>
      <c r="K877" s="3"/>
      <c r="P877" s="787"/>
      <c r="Q877" s="787"/>
      <c r="R877" s="18"/>
      <c r="S877" s="1"/>
      <c r="T877" s="22"/>
    </row>
    <row r="878" spans="2:20">
      <c r="B878" s="61"/>
      <c r="C878" s="617"/>
      <c r="D878" s="618"/>
      <c r="E878" s="554"/>
      <c r="F878" s="631"/>
      <c r="G878" s="631"/>
      <c r="H878" s="632"/>
      <c r="I878" s="619" t="s">
        <v>281</v>
      </c>
      <c r="J878" s="2584"/>
      <c r="K878" s="3"/>
      <c r="P878" s="723"/>
      <c r="Q878" s="724"/>
      <c r="R878" s="724"/>
      <c r="S878" s="785"/>
      <c r="T878" s="176"/>
    </row>
    <row r="879" spans="2:20" ht="14.25" customHeight="1" thickBot="1">
      <c r="B879" s="620"/>
      <c r="C879" s="621" t="s">
        <v>756</v>
      </c>
      <c r="D879" s="622"/>
      <c r="E879" s="220">
        <f>(E104+E157+E215+E267+E322+E377+E490+E545+E599+E654+E707+E764)/12</f>
        <v>40.5</v>
      </c>
      <c r="F879" s="221">
        <f>(F104+F157+F215+F267+F322+F377+F490+F545+F599+F654+F707+F764)/12</f>
        <v>41.399999999999991</v>
      </c>
      <c r="G879" s="221">
        <f>(G104+G157+G215+G267+G322+G377+G490+G545+G599+G654+G707+G764)/12</f>
        <v>172.35</v>
      </c>
      <c r="H879" s="633">
        <f>(H104+H157+H215+H267+H322+H377+H490+H545+H599+H654+H707+H764)/12</f>
        <v>1223.9996666666666</v>
      </c>
      <c r="I879" s="623" t="s">
        <v>263</v>
      </c>
      <c r="J879" s="2585">
        <f>(H879*100/H875)-45</f>
        <v>-1.2254901960773168E-5</v>
      </c>
      <c r="K879" s="3"/>
      <c r="P879" s="725"/>
      <c r="Q879" s="725"/>
      <c r="R879" s="725"/>
      <c r="S879" s="785"/>
      <c r="T879" s="176"/>
    </row>
    <row r="880" spans="2:20" ht="15.75" thickBot="1">
      <c r="K880" s="3"/>
      <c r="P880" s="1289"/>
      <c r="Q880" s="1289"/>
      <c r="R880" s="1289"/>
      <c r="S880" s="785"/>
      <c r="T880" s="176"/>
    </row>
    <row r="881" spans="2:20" ht="15.75" thickBot="1">
      <c r="B881" s="601" t="s">
        <v>511</v>
      </c>
      <c r="C881" s="58"/>
      <c r="D881" s="602"/>
      <c r="E881" s="397" t="s">
        <v>252</v>
      </c>
      <c r="F881" s="397"/>
      <c r="G881" s="397"/>
      <c r="H881" s="527" t="s">
        <v>253</v>
      </c>
      <c r="I881" s="603" t="s">
        <v>278</v>
      </c>
      <c r="J881" s="604"/>
      <c r="K881" s="3"/>
      <c r="P881" s="722"/>
      <c r="Q881" s="722"/>
      <c r="R881" s="722"/>
      <c r="S881" s="203"/>
      <c r="T881" s="176"/>
    </row>
    <row r="882" spans="2:20">
      <c r="B882" s="804" t="s">
        <v>764</v>
      </c>
      <c r="C882" s="749"/>
      <c r="D882" s="605"/>
      <c r="E882" s="606" t="s">
        <v>259</v>
      </c>
      <c r="F882" s="532" t="s">
        <v>63</v>
      </c>
      <c r="G882" s="532" t="s">
        <v>64</v>
      </c>
      <c r="H882" s="529" t="s">
        <v>260</v>
      </c>
      <c r="I882" s="607" t="s">
        <v>45</v>
      </c>
      <c r="J882" s="608" t="s">
        <v>279</v>
      </c>
      <c r="K882" s="3"/>
      <c r="P882" s="727"/>
      <c r="Q882" s="727"/>
      <c r="R882" s="727"/>
      <c r="S882" s="203"/>
      <c r="T882" s="176"/>
    </row>
    <row r="883" spans="2:20" ht="15.75" thickBot="1">
      <c r="B883" s="57"/>
      <c r="C883" s="750" t="s">
        <v>317</v>
      </c>
      <c r="D883" s="578"/>
      <c r="E883" s="609" t="s">
        <v>6</v>
      </c>
      <c r="F883" s="538" t="s">
        <v>7</v>
      </c>
      <c r="G883" s="538" t="s">
        <v>8</v>
      </c>
      <c r="H883" s="610" t="s">
        <v>263</v>
      </c>
      <c r="I883" s="568"/>
      <c r="J883" s="611" t="s">
        <v>280</v>
      </c>
      <c r="K883" s="3"/>
      <c r="Q883" s="1"/>
      <c r="R883" s="1"/>
      <c r="S883" s="1"/>
      <c r="T883" s="1"/>
    </row>
    <row r="884" spans="2:20">
      <c r="B884" s="61"/>
      <c r="C884" s="2362" t="s">
        <v>959</v>
      </c>
      <c r="D884" s="746">
        <v>1</v>
      </c>
      <c r="E884" s="442">
        <v>90</v>
      </c>
      <c r="F884" s="59">
        <v>92</v>
      </c>
      <c r="G884" s="60">
        <v>383</v>
      </c>
      <c r="H884" s="612">
        <v>2720</v>
      </c>
      <c r="I884" s="613" t="s">
        <v>259</v>
      </c>
      <c r="J884" s="2581">
        <f>(E888*100/E884)-70</f>
        <v>0</v>
      </c>
      <c r="K884" s="3"/>
      <c r="P884" s="19"/>
      <c r="Q884" s="19"/>
      <c r="R884" s="783"/>
      <c r="S884" s="14"/>
      <c r="T884" s="1"/>
    </row>
    <row r="885" spans="2:20">
      <c r="B885" s="168"/>
      <c r="C885" s="150" t="s">
        <v>145</v>
      </c>
      <c r="D885" s="614"/>
      <c r="E885" s="769"/>
      <c r="F885" s="443"/>
      <c r="G885" s="443"/>
      <c r="H885" s="770"/>
      <c r="I885" s="615" t="s">
        <v>63</v>
      </c>
      <c r="J885" s="2582">
        <f>(F888*100/F884)-70</f>
        <v>2.7173913039746367E-5</v>
      </c>
      <c r="K885" s="3"/>
      <c r="P885" s="785"/>
      <c r="Q885" s="785"/>
      <c r="R885" s="175"/>
      <c r="S885" s="22"/>
      <c r="T885" s="22"/>
    </row>
    <row r="886" spans="2:20" ht="15.75">
      <c r="B886" s="2235" t="s">
        <v>512</v>
      </c>
      <c r="C886" s="1011" t="s">
        <v>285</v>
      </c>
      <c r="D886" s="1012">
        <v>0.7</v>
      </c>
      <c r="E886" s="1013">
        <v>63</v>
      </c>
      <c r="F886" s="1014">
        <v>64.400000000000006</v>
      </c>
      <c r="G886" s="1014">
        <v>268.10000000000002</v>
      </c>
      <c r="H886" s="1015">
        <v>1904</v>
      </c>
      <c r="I886" s="615" t="s">
        <v>64</v>
      </c>
      <c r="J886" s="2583">
        <f>(G888*100/G884)-70</f>
        <v>0</v>
      </c>
      <c r="K886" s="3"/>
      <c r="P886" s="787"/>
      <c r="Q886" s="787"/>
      <c r="R886" s="18"/>
      <c r="S886" s="1"/>
      <c r="T886" s="22"/>
    </row>
    <row r="887" spans="2:20">
      <c r="B887" s="61"/>
      <c r="C887" s="617"/>
      <c r="D887" s="618"/>
      <c r="E887" s="554"/>
      <c r="F887" s="631"/>
      <c r="G887" s="631"/>
      <c r="H887" s="632"/>
      <c r="I887" s="619" t="s">
        <v>281</v>
      </c>
      <c r="J887" s="2584"/>
      <c r="K887" s="3"/>
      <c r="P887" s="723"/>
      <c r="Q887" s="724"/>
      <c r="R887" s="724"/>
      <c r="S887" s="785"/>
      <c r="T887" s="176"/>
    </row>
    <row r="888" spans="2:20" ht="15.75" thickBot="1">
      <c r="B888" s="620"/>
      <c r="C888" s="621" t="s">
        <v>756</v>
      </c>
      <c r="D888" s="622"/>
      <c r="E888" s="220">
        <f>(E108+E161+E219+E271+E326+E381+E494+E549+E603+E658+E711+E768)/12</f>
        <v>63</v>
      </c>
      <c r="F888" s="221">
        <f>(F108+F161+F219+F271+F326+F381+F494+F549+F603+F658+F711+F768)/12</f>
        <v>64.400024999999999</v>
      </c>
      <c r="G888" s="221">
        <f>(G108+G161+G219+G271+G326+G381+G494+G549+G603+G658+G711+G768)/12</f>
        <v>268.09999999999997</v>
      </c>
      <c r="H888" s="633">
        <f>(H108+H161+H219+H271+H326+H381+H494+H549+H603+H658+H711+H768)/12</f>
        <v>1903.9996833333335</v>
      </c>
      <c r="I888" s="623" t="s">
        <v>263</v>
      </c>
      <c r="J888" s="2585">
        <f>(H888*100/H884)-70</f>
        <v>-1.1642156849234198E-5</v>
      </c>
      <c r="K888" s="3"/>
      <c r="P888" s="725"/>
      <c r="Q888" s="725"/>
      <c r="R888" s="725"/>
      <c r="S888" s="785"/>
      <c r="T888" s="176"/>
    </row>
    <row r="889" spans="2:20">
      <c r="E889" s="1289"/>
      <c r="F889" s="1289"/>
      <c r="G889" s="1289"/>
      <c r="H889" s="1289"/>
      <c r="K889" s="3"/>
      <c r="P889" s="1289"/>
      <c r="Q889" s="1289"/>
      <c r="R889" s="1289"/>
      <c r="S889" s="785"/>
      <c r="T889" s="176"/>
    </row>
    <row r="890" spans="2:20">
      <c r="K890" s="3"/>
      <c r="Q890" s="1"/>
      <c r="R890" s="1"/>
      <c r="S890" s="203"/>
      <c r="T890" s="176"/>
    </row>
    <row r="891" spans="2:20">
      <c r="B891" s="2" t="s">
        <v>136</v>
      </c>
      <c r="D891"/>
      <c r="E891"/>
      <c r="F891"/>
      <c r="G891"/>
      <c r="H891" t="s">
        <v>137</v>
      </c>
      <c r="I891"/>
      <c r="J891"/>
      <c r="K891" s="3"/>
      <c r="P891" s="727"/>
      <c r="Q891" s="727"/>
      <c r="R891" s="727"/>
      <c r="S891" s="203"/>
      <c r="T891" s="176"/>
    </row>
    <row r="892" spans="2:20">
      <c r="K892" s="3"/>
    </row>
    <row r="893" spans="2:20">
      <c r="C893" t="s">
        <v>21</v>
      </c>
      <c r="D893"/>
      <c r="E893" s="3"/>
      <c r="F893"/>
      <c r="G893"/>
      <c r="H893"/>
      <c r="I893"/>
      <c r="J893"/>
      <c r="K893" s="3"/>
    </row>
    <row r="894" spans="2:20">
      <c r="B894" s="62">
        <v>1</v>
      </c>
      <c r="C894" s="48" t="s">
        <v>22</v>
      </c>
      <c r="D894" s="48"/>
      <c r="E894" s="66"/>
      <c r="F894" s="48" t="s">
        <v>23</v>
      </c>
      <c r="G894" s="48"/>
      <c r="H894" s="48"/>
    </row>
    <row r="895" spans="2:20">
      <c r="B895" s="62"/>
      <c r="C895" s="48" t="s">
        <v>24</v>
      </c>
      <c r="D895" s="48"/>
      <c r="E895" s="66"/>
      <c r="F895" s="48"/>
      <c r="G895" s="65"/>
      <c r="H895" s="48"/>
    </row>
    <row r="896" spans="2:20">
      <c r="B896">
        <v>2</v>
      </c>
      <c r="C896" s="48" t="s">
        <v>25</v>
      </c>
      <c r="D896" s="48"/>
      <c r="E896" s="66"/>
      <c r="F896" s="48"/>
      <c r="G896" s="48"/>
      <c r="H896" s="48"/>
    </row>
    <row r="897" spans="2:15">
      <c r="C897" s="48" t="s">
        <v>26</v>
      </c>
      <c r="D897" s="48"/>
      <c r="E897" s="66"/>
      <c r="F897" s="48"/>
      <c r="G897" s="65"/>
      <c r="H897" s="48"/>
    </row>
    <row r="898" spans="2:15">
      <c r="B898">
        <v>3</v>
      </c>
      <c r="C898" s="105" t="s">
        <v>751</v>
      </c>
      <c r="D898" s="105"/>
      <c r="E898" s="105"/>
      <c r="F898" s="105"/>
      <c r="G898" s="105"/>
      <c r="H898" s="105"/>
      <c r="I898" s="105"/>
      <c r="J898" s="105"/>
    </row>
    <row r="899" spans="2:15">
      <c r="C899" s="105" t="s">
        <v>752</v>
      </c>
      <c r="D899" s="105"/>
      <c r="E899" s="105"/>
      <c r="F899" s="105"/>
      <c r="G899" s="105"/>
      <c r="H899" s="105"/>
      <c r="I899" s="105"/>
      <c r="J899" s="2"/>
    </row>
    <row r="900" spans="2:15">
      <c r="C900" s="105" t="s">
        <v>753</v>
      </c>
      <c r="D900" s="105"/>
      <c r="E900" s="105"/>
      <c r="F900" s="105"/>
      <c r="G900" s="105"/>
      <c r="H900" s="105"/>
      <c r="I900" s="105"/>
      <c r="J900" s="105"/>
      <c r="K900" s="105"/>
    </row>
    <row r="901" spans="2:15">
      <c r="B901">
        <v>4</v>
      </c>
      <c r="C901" s="105" t="s">
        <v>961</v>
      </c>
      <c r="D901" s="105"/>
      <c r="E901" s="105"/>
      <c r="F901" s="105"/>
      <c r="G901" s="105"/>
      <c r="H901" s="105"/>
      <c r="K901" s="105"/>
      <c r="O901" s="19"/>
    </row>
    <row r="902" spans="2:15">
      <c r="C902" s="105" t="s">
        <v>962</v>
      </c>
      <c r="D902" s="105"/>
      <c r="E902" s="105"/>
      <c r="F902" s="105"/>
      <c r="G902" s="105"/>
      <c r="H902" s="105"/>
      <c r="K902" s="105"/>
      <c r="O902" s="785"/>
    </row>
    <row r="903" spans="2:15">
      <c r="C903" s="48"/>
      <c r="D903" s="48"/>
      <c r="E903" s="66"/>
      <c r="F903" s="48"/>
      <c r="G903" s="65"/>
      <c r="H903" s="48"/>
      <c r="K903" s="3"/>
      <c r="O903" s="787"/>
    </row>
    <row r="904" spans="2:15">
      <c r="C904" s="105"/>
      <c r="D904" s="105"/>
      <c r="E904" s="105"/>
      <c r="F904" s="105"/>
      <c r="G904" s="105"/>
      <c r="H904" s="105"/>
      <c r="K904" s="3"/>
      <c r="O904" s="2190"/>
    </row>
    <row r="905" spans="2:15">
      <c r="C905" s="105"/>
      <c r="D905" s="105"/>
      <c r="E905" s="105"/>
      <c r="F905" s="105"/>
      <c r="G905" s="105"/>
      <c r="H905" s="105"/>
      <c r="K905" s="3"/>
      <c r="O905" s="725"/>
    </row>
    <row r="906" spans="2:15">
      <c r="K906" s="3"/>
      <c r="O906" s="1289"/>
    </row>
    <row r="907" spans="2:15">
      <c r="K907" s="3"/>
      <c r="O907" s="722"/>
    </row>
    <row r="908" spans="2:15">
      <c r="O908" s="727"/>
    </row>
    <row r="910" spans="2:15">
      <c r="K910" s="3"/>
      <c r="O910" s="19"/>
    </row>
    <row r="911" spans="2:15">
      <c r="K911" s="3"/>
      <c r="O911" s="785"/>
    </row>
    <row r="912" spans="2:15">
      <c r="K912" s="3"/>
      <c r="O912" s="787"/>
    </row>
    <row r="913" spans="11:15">
      <c r="K913" s="3"/>
      <c r="O913" s="2190"/>
    </row>
    <row r="914" spans="11:15">
      <c r="K914" s="3"/>
      <c r="O914" s="725"/>
    </row>
    <row r="915" spans="11:15">
      <c r="K915" s="3"/>
      <c r="O915" s="1289"/>
    </row>
    <row r="916" spans="11:15">
      <c r="K916" s="3"/>
      <c r="O916" s="722"/>
    </row>
    <row r="917" spans="11:15">
      <c r="K917" s="3"/>
      <c r="O917" s="727"/>
    </row>
    <row r="918" spans="11:15">
      <c r="K918" s="3"/>
    </row>
    <row r="919" spans="11:15">
      <c r="K919" s="3"/>
      <c r="O919" s="19"/>
    </row>
    <row r="920" spans="11:15">
      <c r="K920" s="3"/>
      <c r="O920" s="785"/>
    </row>
    <row r="921" spans="11:15">
      <c r="K921" s="3"/>
      <c r="O921" s="787"/>
    </row>
    <row r="922" spans="11:15">
      <c r="K922" s="3"/>
      <c r="O922" s="2190"/>
    </row>
    <row r="923" spans="11:15">
      <c r="K923" s="3"/>
      <c r="O923" s="725"/>
    </row>
    <row r="924" spans="11:15">
      <c r="K924" s="3"/>
      <c r="O924" s="1289"/>
    </row>
    <row r="925" spans="11:15">
      <c r="K925" s="3"/>
      <c r="O925" s="722"/>
    </row>
    <row r="926" spans="11:15">
      <c r="K926" s="3"/>
      <c r="O926" s="727"/>
    </row>
    <row r="927" spans="11:15">
      <c r="K927" s="3"/>
    </row>
    <row r="928" spans="11:15">
      <c r="K928" s="3"/>
      <c r="O928" s="19"/>
    </row>
    <row r="929" spans="11:15">
      <c r="K929" s="3"/>
      <c r="O929" s="785"/>
    </row>
    <row r="930" spans="11:15">
      <c r="K930" s="3"/>
      <c r="O930" s="787"/>
    </row>
    <row r="931" spans="11:15">
      <c r="K931" s="3"/>
      <c r="O931" s="2190"/>
    </row>
    <row r="932" spans="11:15">
      <c r="K932" s="3"/>
      <c r="O932" s="725"/>
    </row>
    <row r="933" spans="11:15">
      <c r="K933" s="3"/>
      <c r="O933" s="1289"/>
    </row>
    <row r="934" spans="11:15">
      <c r="K934" s="3"/>
      <c r="O934" s="722"/>
    </row>
    <row r="935" spans="11:15">
      <c r="K935" s="3"/>
      <c r="O935" s="727"/>
    </row>
    <row r="936" spans="11:15">
      <c r="K936" s="3"/>
    </row>
    <row r="937" spans="11:15">
      <c r="K937" s="3"/>
      <c r="O937" s="19"/>
    </row>
    <row r="938" spans="11:15">
      <c r="K938" s="3"/>
      <c r="O938" s="785"/>
    </row>
    <row r="939" spans="11:15">
      <c r="K939" s="3"/>
      <c r="O939" s="787"/>
    </row>
    <row r="940" spans="11:15">
      <c r="K940" s="3"/>
      <c r="O940" s="2190"/>
    </row>
    <row r="941" spans="11:15">
      <c r="K941" s="3"/>
      <c r="O941" s="725"/>
    </row>
    <row r="942" spans="11:15">
      <c r="K942" s="3"/>
      <c r="O942" s="1289"/>
    </row>
    <row r="943" spans="11:15">
      <c r="K943" s="3"/>
      <c r="O943" s="722"/>
    </row>
    <row r="944" spans="11:15">
      <c r="K944" s="3"/>
      <c r="O944" s="727"/>
    </row>
    <row r="945" spans="11:15">
      <c r="K945" s="3"/>
    </row>
    <row r="946" spans="11:15">
      <c r="K946" s="3"/>
      <c r="O946" s="19"/>
    </row>
    <row r="947" spans="11:15">
      <c r="K947" s="3"/>
      <c r="O947" s="785"/>
    </row>
    <row r="948" spans="11:15">
      <c r="K948" s="3"/>
      <c r="O948" s="787"/>
    </row>
    <row r="949" spans="11:15">
      <c r="K949" s="3"/>
      <c r="O949" s="2190"/>
    </row>
    <row r="950" spans="11:15">
      <c r="K950" s="3"/>
      <c r="O950" s="725"/>
    </row>
    <row r="951" spans="11:15">
      <c r="K951" s="3"/>
      <c r="O951" s="1289"/>
    </row>
    <row r="952" spans="11:15">
      <c r="K952" s="3"/>
    </row>
    <row r="953" spans="11:15">
      <c r="K953" s="3"/>
      <c r="O953" s="727"/>
    </row>
    <row r="954" spans="11:15">
      <c r="K954" s="3"/>
    </row>
    <row r="955" spans="11:15">
      <c r="K955" s="3"/>
    </row>
    <row r="956" spans="11:15">
      <c r="K956" s="3"/>
    </row>
    <row r="957" spans="11:15">
      <c r="K957" s="3"/>
    </row>
    <row r="958" spans="11:15">
      <c r="K958" s="3"/>
    </row>
    <row r="959" spans="11:15">
      <c r="K959" s="3"/>
    </row>
    <row r="960" spans="11:15">
      <c r="K960" s="3"/>
    </row>
    <row r="961" spans="11:11">
      <c r="K961" s="3"/>
    </row>
    <row r="962" spans="11:11">
      <c r="K962" s="3"/>
    </row>
    <row r="963" spans="11:11">
      <c r="K963" s="3"/>
    </row>
    <row r="964" spans="11:11">
      <c r="K964" s="3"/>
    </row>
    <row r="965" spans="11:11">
      <c r="K965" s="3"/>
    </row>
    <row r="966" spans="11:11">
      <c r="K966" s="3"/>
    </row>
    <row r="967" spans="11:11">
      <c r="K967" s="3"/>
    </row>
    <row r="968" spans="11:11">
      <c r="K968" s="3"/>
    </row>
    <row r="969" spans="11:11">
      <c r="K969" s="3"/>
    </row>
    <row r="970" spans="11:11">
      <c r="K970" s="3"/>
    </row>
    <row r="971" spans="11:11">
      <c r="K971" s="3"/>
    </row>
    <row r="972" spans="11:11">
      <c r="K972" s="3"/>
    </row>
    <row r="973" spans="11:11">
      <c r="K973" s="3"/>
    </row>
    <row r="974" spans="11:11">
      <c r="K974" s="3"/>
    </row>
    <row r="975" spans="11:11">
      <c r="K975" s="3"/>
    </row>
    <row r="976" spans="11:11">
      <c r="K976" s="3"/>
    </row>
    <row r="977" spans="11:11">
      <c r="K977" s="3"/>
    </row>
    <row r="978" spans="11:11">
      <c r="K978" s="3"/>
    </row>
    <row r="979" spans="11:11">
      <c r="K979" s="3"/>
    </row>
    <row r="980" spans="11:11">
      <c r="K980" s="3"/>
    </row>
    <row r="981" spans="11:11">
      <c r="K981" s="3"/>
    </row>
    <row r="982" spans="11:11">
      <c r="K982" s="3"/>
    </row>
    <row r="983" spans="11:11">
      <c r="K983" s="3"/>
    </row>
    <row r="985" spans="11:11">
      <c r="K985" s="3"/>
    </row>
    <row r="986" spans="11:11">
      <c r="K986" s="3"/>
    </row>
    <row r="987" spans="11:11">
      <c r="K987" s="3"/>
    </row>
    <row r="988" spans="11:11">
      <c r="K988" s="3"/>
    </row>
    <row r="989" spans="11:11">
      <c r="K989" s="3"/>
    </row>
    <row r="990" spans="11:11">
      <c r="K990" s="3"/>
    </row>
    <row r="991" spans="11:11">
      <c r="K991" s="3"/>
    </row>
    <row r="992" spans="11:11">
      <c r="K992" s="3"/>
    </row>
    <row r="993" spans="11:11">
      <c r="K993" s="3"/>
    </row>
    <row r="994" spans="11:11">
      <c r="K994" s="3"/>
    </row>
    <row r="995" spans="11:11">
      <c r="K995" s="3"/>
    </row>
    <row r="996" spans="11:11">
      <c r="K996" s="3"/>
    </row>
    <row r="997" spans="11:11">
      <c r="K997" s="3"/>
    </row>
    <row r="998" spans="11:11">
      <c r="K998" s="3"/>
    </row>
    <row r="999" spans="11:11">
      <c r="K999" s="3"/>
    </row>
    <row r="1000" spans="11:11">
      <c r="K1000" s="3"/>
    </row>
    <row r="1001" spans="11:11">
      <c r="K1001" s="3"/>
    </row>
    <row r="1002" spans="11:11">
      <c r="K1002" s="3"/>
    </row>
    <row r="1003" spans="11:11">
      <c r="K1003" s="3"/>
    </row>
    <row r="1004" spans="11:11">
      <c r="K1004" s="3"/>
    </row>
    <row r="1005" spans="11:11">
      <c r="K1005" s="3"/>
    </row>
    <row r="1006" spans="11:11">
      <c r="K1006" s="3"/>
    </row>
    <row r="1007" spans="11:11">
      <c r="K1007" s="3"/>
    </row>
    <row r="1008" spans="11:11">
      <c r="K1008" s="3"/>
    </row>
    <row r="1009" spans="11:11">
      <c r="K1009" s="3"/>
    </row>
    <row r="1010" spans="11:11">
      <c r="K1010" s="3"/>
    </row>
    <row r="1011" spans="11:11">
      <c r="K1011" s="3"/>
    </row>
    <row r="1012" spans="11:11">
      <c r="K1012" s="3"/>
    </row>
    <row r="1013" spans="11:11">
      <c r="K1013" s="3"/>
    </row>
    <row r="1014" spans="11:11">
      <c r="K1014" s="3"/>
    </row>
    <row r="1015" spans="11:11">
      <c r="K1015" s="3"/>
    </row>
    <row r="1016" spans="11:11">
      <c r="K1016" s="3"/>
    </row>
    <row r="1017" spans="11:11">
      <c r="K1017" s="3"/>
    </row>
    <row r="1018" spans="11:11">
      <c r="K1018" s="3"/>
    </row>
    <row r="1019" spans="11:11">
      <c r="K1019" s="3"/>
    </row>
    <row r="1020" spans="11:11">
      <c r="K1020" s="3"/>
    </row>
    <row r="1021" spans="11:11">
      <c r="K1021" s="3"/>
    </row>
    <row r="1022" spans="11:11">
      <c r="K1022" s="3"/>
    </row>
    <row r="1023" spans="11:11">
      <c r="K1023" s="3"/>
    </row>
    <row r="1024" spans="11:11">
      <c r="K1024" s="3"/>
    </row>
    <row r="1025" spans="11:11">
      <c r="K1025" s="3"/>
    </row>
    <row r="1026" spans="11:11">
      <c r="K1026" s="3"/>
    </row>
    <row r="1027" spans="11:11">
      <c r="K1027" s="3"/>
    </row>
    <row r="1028" spans="11:11">
      <c r="K1028" s="3"/>
    </row>
    <row r="1029" spans="11:11">
      <c r="K1029" s="3"/>
    </row>
    <row r="1030" spans="11:11">
      <c r="K1030" s="3"/>
    </row>
    <row r="1031" spans="11:11">
      <c r="K1031" s="3"/>
    </row>
    <row r="1032" spans="11:11">
      <c r="K1032" s="3"/>
    </row>
    <row r="1033" spans="11:11">
      <c r="K1033" s="3"/>
    </row>
    <row r="1034" spans="11:11">
      <c r="K1034" s="3"/>
    </row>
    <row r="1035" spans="11:11">
      <c r="K1035" s="3"/>
    </row>
    <row r="1036" spans="11:11">
      <c r="K1036" s="3"/>
    </row>
    <row r="1037" spans="11:11">
      <c r="K1037" s="3"/>
    </row>
    <row r="1038" spans="11:11">
      <c r="K1038" s="3"/>
    </row>
    <row r="1039" spans="11:11">
      <c r="K1039" s="3"/>
    </row>
    <row r="1040" spans="11:11">
      <c r="K1040" s="3"/>
    </row>
    <row r="1043" spans="11:11">
      <c r="K1043" s="3"/>
    </row>
    <row r="1044" spans="11:11">
      <c r="K1044" s="3"/>
    </row>
    <row r="1045" spans="11:11">
      <c r="K1045" s="3"/>
    </row>
    <row r="1046" spans="11:11">
      <c r="K1046" s="3"/>
    </row>
    <row r="1047" spans="11:11">
      <c r="K1047" s="3"/>
    </row>
    <row r="1048" spans="11:11">
      <c r="K1048" s="3"/>
    </row>
    <row r="1049" spans="11:11">
      <c r="K1049" s="3"/>
    </row>
    <row r="1050" spans="11:11">
      <c r="K1050" s="3"/>
    </row>
    <row r="1051" spans="11:11">
      <c r="K1051" s="3"/>
    </row>
    <row r="1052" spans="11:11">
      <c r="K1052" s="3"/>
    </row>
    <row r="1053" spans="11:11">
      <c r="K1053" s="3"/>
    </row>
    <row r="1057" spans="11:11">
      <c r="K1057" s="3"/>
    </row>
    <row r="1058" spans="11:11">
      <c r="K1058" s="3"/>
    </row>
    <row r="1059" spans="11:11">
      <c r="K1059" s="3"/>
    </row>
    <row r="1060" spans="11:11">
      <c r="K1060" s="3"/>
    </row>
    <row r="1061" spans="11:11">
      <c r="K1061" s="3"/>
    </row>
    <row r="1062" spans="11:11">
      <c r="K1062" s="3"/>
    </row>
    <row r="1063" spans="11:11">
      <c r="K1063" s="3"/>
    </row>
    <row r="1064" spans="11:11">
      <c r="K1064" s="3"/>
    </row>
    <row r="1065" spans="11:11">
      <c r="K1065" s="3"/>
    </row>
    <row r="1066" spans="11:11">
      <c r="K1066" s="3"/>
    </row>
    <row r="1067" spans="11:11">
      <c r="K1067" s="3"/>
    </row>
    <row r="1068" spans="11:11">
      <c r="K1068" s="3"/>
    </row>
    <row r="1069" spans="11:11">
      <c r="K1069" s="3"/>
    </row>
    <row r="1070" spans="11:11">
      <c r="K1070" s="3"/>
    </row>
    <row r="1071" spans="11:11">
      <c r="K1071" s="3"/>
    </row>
    <row r="1072" spans="11:11">
      <c r="K1072" s="3"/>
    </row>
    <row r="1073" spans="11:11">
      <c r="K1073" s="3"/>
    </row>
    <row r="1074" spans="11:11">
      <c r="K1074" s="3"/>
    </row>
    <row r="1075" spans="11:11">
      <c r="K1075" s="3"/>
    </row>
    <row r="1076" spans="11:11">
      <c r="K1076" s="3"/>
    </row>
    <row r="1077" spans="11:11">
      <c r="K1077" s="3"/>
    </row>
    <row r="1078" spans="11:11">
      <c r="K1078" s="3"/>
    </row>
    <row r="1079" spans="11:11">
      <c r="K1079" s="3"/>
    </row>
    <row r="1080" spans="11:11">
      <c r="K1080" s="3"/>
    </row>
    <row r="1081" spans="11:11">
      <c r="K1081" s="3"/>
    </row>
    <row r="1082" spans="11:11">
      <c r="K1082" s="3"/>
    </row>
    <row r="1083" spans="11:11">
      <c r="K1083" s="3"/>
    </row>
    <row r="1084" spans="11:11">
      <c r="K1084" s="3"/>
    </row>
    <row r="1085" spans="11:11">
      <c r="K1085" s="3"/>
    </row>
    <row r="1086" spans="11:11">
      <c r="K1086" s="3"/>
    </row>
    <row r="1087" spans="11:11">
      <c r="K1087" s="3"/>
    </row>
    <row r="1088" spans="11:11">
      <c r="K1088" s="3"/>
    </row>
    <row r="1089" spans="11:11">
      <c r="K1089" s="3"/>
    </row>
    <row r="1090" spans="11:11">
      <c r="K1090" s="3"/>
    </row>
    <row r="1091" spans="11:11">
      <c r="K1091" s="3"/>
    </row>
    <row r="1092" spans="11:11">
      <c r="K1092" s="3"/>
    </row>
    <row r="1093" spans="11:11">
      <c r="K1093" s="3"/>
    </row>
    <row r="1094" spans="11:11">
      <c r="K1094" s="3"/>
    </row>
    <row r="1095" spans="11:11">
      <c r="K1095" s="3"/>
    </row>
    <row r="1096" spans="11:11">
      <c r="K1096" s="3"/>
    </row>
    <row r="1097" spans="11:11">
      <c r="K1097" s="3"/>
    </row>
    <row r="1098" spans="11:11">
      <c r="K1098" s="3"/>
    </row>
    <row r="1099" spans="11:11">
      <c r="K1099" s="3"/>
    </row>
    <row r="1100" spans="11:11">
      <c r="K1100" s="3"/>
    </row>
    <row r="1101" spans="11:11">
      <c r="K1101" s="3"/>
    </row>
    <row r="1102" spans="11:11">
      <c r="K1102" s="3"/>
    </row>
    <row r="1103" spans="11:11">
      <c r="K1103" s="3"/>
    </row>
    <row r="1104" spans="11:11">
      <c r="K1104" s="3"/>
    </row>
    <row r="1105" spans="11:11">
      <c r="K1105" s="3"/>
    </row>
    <row r="1106" spans="11:11">
      <c r="K1106" s="3"/>
    </row>
    <row r="1107" spans="11:11">
      <c r="K1107" s="3"/>
    </row>
    <row r="1108" spans="11:11">
      <c r="K1108" s="3"/>
    </row>
    <row r="1109" spans="11:11">
      <c r="K1109" s="3"/>
    </row>
    <row r="1110" spans="11:11">
      <c r="K1110" s="3"/>
    </row>
    <row r="1111" spans="11:11">
      <c r="K1111" s="3"/>
    </row>
    <row r="1112" spans="11:11">
      <c r="K1112" s="3"/>
    </row>
    <row r="1113" spans="11:11">
      <c r="K1113" s="3"/>
    </row>
    <row r="1114" spans="11:11">
      <c r="K1114" s="3"/>
    </row>
    <row r="1115" spans="11:11">
      <c r="K1115" s="3"/>
    </row>
    <row r="1116" spans="11:11">
      <c r="K1116" s="3"/>
    </row>
    <row r="1117" spans="11:11">
      <c r="K1117" s="3"/>
    </row>
    <row r="1118" spans="11:11">
      <c r="K1118" s="3"/>
    </row>
    <row r="1119" spans="11:11">
      <c r="K1119" s="3"/>
    </row>
    <row r="1120" spans="11:11">
      <c r="K1120" s="3"/>
    </row>
    <row r="1121" spans="11:11">
      <c r="K1121" s="3"/>
    </row>
    <row r="1122" spans="11:11">
      <c r="K1122" s="3"/>
    </row>
    <row r="1123" spans="11:11">
      <c r="K1123" s="3"/>
    </row>
    <row r="1124" spans="11:11">
      <c r="K1124" s="3"/>
    </row>
    <row r="1125" spans="11:11">
      <c r="K1125" s="3"/>
    </row>
    <row r="1126" spans="11:11">
      <c r="K1126" s="3"/>
    </row>
    <row r="1127" spans="11:11">
      <c r="K1127" s="3"/>
    </row>
    <row r="1128" spans="11:11">
      <c r="K1128" s="3"/>
    </row>
    <row r="1129" spans="11:11">
      <c r="K1129" s="3"/>
    </row>
    <row r="1130" spans="11:11">
      <c r="K1130" s="3"/>
    </row>
    <row r="1131" spans="11:11">
      <c r="K1131" s="3"/>
    </row>
    <row r="1132" spans="11:11">
      <c r="K1132" s="3"/>
    </row>
    <row r="1133" spans="11:11">
      <c r="K1133" s="3"/>
    </row>
    <row r="1134" spans="11:11">
      <c r="K1134" s="3"/>
    </row>
    <row r="1135" spans="11:11">
      <c r="K1135" s="3"/>
    </row>
    <row r="1136" spans="11:11">
      <c r="K1136" s="3"/>
    </row>
    <row r="1137" spans="11:11">
      <c r="K1137" s="3"/>
    </row>
    <row r="1138" spans="11:11">
      <c r="K1138" s="3"/>
    </row>
    <row r="1139" spans="11:11">
      <c r="K1139" s="3"/>
    </row>
    <row r="1140" spans="11:11">
      <c r="K1140" s="3"/>
    </row>
    <row r="1141" spans="11:11">
      <c r="K1141" s="3"/>
    </row>
    <row r="1142" spans="11:11">
      <c r="K1142" s="3"/>
    </row>
    <row r="1143" spans="11:11">
      <c r="K1143" s="3"/>
    </row>
    <row r="1144" spans="11:11">
      <c r="K1144" s="3"/>
    </row>
    <row r="1145" spans="11:11">
      <c r="K1145" s="3"/>
    </row>
    <row r="1146" spans="11:11">
      <c r="K1146" s="3"/>
    </row>
    <row r="1147" spans="11:11">
      <c r="K1147" s="3"/>
    </row>
    <row r="1148" spans="11:11">
      <c r="K1148" s="3"/>
    </row>
    <row r="1149" spans="11:11">
      <c r="K1149" s="3"/>
    </row>
    <row r="1150" spans="11:11">
      <c r="K1150" s="3"/>
    </row>
    <row r="1151" spans="11:11">
      <c r="K1151" s="3"/>
    </row>
    <row r="1152" spans="11:11">
      <c r="K1152" s="3"/>
    </row>
    <row r="1153" spans="11:11">
      <c r="K1153" s="3"/>
    </row>
    <row r="1154" spans="11:11">
      <c r="K1154" s="3"/>
    </row>
    <row r="1155" spans="11:11">
      <c r="K1155" s="3"/>
    </row>
    <row r="1156" spans="11:11">
      <c r="K1156" s="3"/>
    </row>
    <row r="1157" spans="11:11">
      <c r="K1157" s="3"/>
    </row>
    <row r="1158" spans="11:11">
      <c r="K1158" s="3"/>
    </row>
    <row r="1159" spans="11:11">
      <c r="K1159" s="3"/>
    </row>
    <row r="1160" spans="11:11">
      <c r="K1160" s="3"/>
    </row>
    <row r="1161" spans="11:11">
      <c r="K1161" s="3"/>
    </row>
    <row r="1162" spans="11:11">
      <c r="K1162" s="3"/>
    </row>
    <row r="1163" spans="11:11">
      <c r="K1163" s="3"/>
    </row>
    <row r="1164" spans="11:11">
      <c r="K1164" s="3"/>
    </row>
    <row r="1165" spans="11:11">
      <c r="K1165" s="3"/>
    </row>
    <row r="1166" spans="11:11">
      <c r="K1166" s="3"/>
    </row>
    <row r="1167" spans="11:11">
      <c r="K1167" s="3"/>
    </row>
    <row r="1168" spans="11:11">
      <c r="K1168" s="3"/>
    </row>
    <row r="1169" spans="11:11">
      <c r="K1169" s="3"/>
    </row>
    <row r="1170" spans="11:11">
      <c r="K1170" s="3"/>
    </row>
    <row r="1171" spans="11:11">
      <c r="K1171" s="3"/>
    </row>
    <row r="1172" spans="11:11">
      <c r="K1172" s="3"/>
    </row>
    <row r="1173" spans="11:11">
      <c r="K1173" s="3"/>
    </row>
    <row r="1174" spans="11:11">
      <c r="K1174" s="3"/>
    </row>
    <row r="1175" spans="11:11">
      <c r="K1175" s="3"/>
    </row>
    <row r="1176" spans="11:11">
      <c r="K1176" s="3"/>
    </row>
    <row r="1177" spans="11:11">
      <c r="K1177" s="3"/>
    </row>
    <row r="1178" spans="11:11">
      <c r="K1178" s="3"/>
    </row>
    <row r="1179" spans="11:11">
      <c r="K1179" s="3"/>
    </row>
    <row r="1180" spans="11:11">
      <c r="K1180" s="3"/>
    </row>
    <row r="1181" spans="11:11">
      <c r="K1181" s="3"/>
    </row>
    <row r="1182" spans="11:11">
      <c r="K1182" s="3"/>
    </row>
    <row r="1183" spans="11:11">
      <c r="K1183" s="3"/>
    </row>
    <row r="1184" spans="11:11">
      <c r="K1184" s="3"/>
    </row>
    <row r="1185" spans="11:11">
      <c r="K1185" s="3"/>
    </row>
    <row r="1186" spans="11:11">
      <c r="K1186" s="3"/>
    </row>
    <row r="1187" spans="11:11">
      <c r="K1187" s="3"/>
    </row>
    <row r="1188" spans="11:11">
      <c r="K1188" s="3"/>
    </row>
    <row r="1189" spans="11:11">
      <c r="K1189" s="3"/>
    </row>
    <row r="1190" spans="11:11">
      <c r="K1190" s="3"/>
    </row>
    <row r="1191" spans="11:11">
      <c r="K1191" s="3"/>
    </row>
    <row r="1192" spans="11:11">
      <c r="K1192" s="3"/>
    </row>
    <row r="1193" spans="11:11">
      <c r="K1193" s="3"/>
    </row>
    <row r="1194" spans="11:11">
      <c r="K1194" s="3"/>
    </row>
    <row r="1195" spans="11:11">
      <c r="K1195" s="3"/>
    </row>
    <row r="1196" spans="11:11">
      <c r="K1196" s="3"/>
    </row>
    <row r="1197" spans="11:11">
      <c r="K1197" s="3"/>
    </row>
    <row r="1198" spans="11:11">
      <c r="K1198" s="3"/>
    </row>
    <row r="1199" spans="11:11">
      <c r="K1199" s="3"/>
    </row>
    <row r="1200" spans="11:11">
      <c r="K1200" s="3"/>
    </row>
    <row r="1201" spans="11:11">
      <c r="K1201" s="3"/>
    </row>
    <row r="1202" spans="11:11">
      <c r="K1202" s="3"/>
    </row>
    <row r="1203" spans="11:11">
      <c r="K1203" s="3"/>
    </row>
    <row r="1204" spans="11:11">
      <c r="K1204" s="3"/>
    </row>
    <row r="1205" spans="11:11">
      <c r="K1205" s="3"/>
    </row>
    <row r="1206" spans="11:11">
      <c r="K1206" s="3"/>
    </row>
    <row r="1207" spans="11:11">
      <c r="K1207" s="3"/>
    </row>
    <row r="1208" spans="11:11">
      <c r="K1208" s="3"/>
    </row>
    <row r="1209" spans="11:11">
      <c r="K1209" s="3"/>
    </row>
    <row r="1210" spans="11:11">
      <c r="K1210" s="3"/>
    </row>
    <row r="1211" spans="11:11">
      <c r="K1211" s="3"/>
    </row>
    <row r="1212" spans="11:11">
      <c r="K1212" s="3"/>
    </row>
    <row r="1213" spans="11:11">
      <c r="K1213" s="3"/>
    </row>
    <row r="1214" spans="11:11">
      <c r="K1214" s="3"/>
    </row>
    <row r="1215" spans="11:11">
      <c r="K1215" s="3"/>
    </row>
    <row r="1216" spans="11:11">
      <c r="K1216" s="3"/>
    </row>
    <row r="1217" spans="11:11">
      <c r="K1217" s="3"/>
    </row>
    <row r="1218" spans="11:11">
      <c r="K1218" s="3"/>
    </row>
    <row r="1219" spans="11:11">
      <c r="K1219" s="3"/>
    </row>
    <row r="1220" spans="11:11">
      <c r="K1220" s="3"/>
    </row>
    <row r="1221" spans="11:11">
      <c r="K1221" s="3"/>
    </row>
    <row r="1222" spans="11:11">
      <c r="K1222" s="3"/>
    </row>
    <row r="1223" spans="11:11">
      <c r="K1223" s="3"/>
    </row>
    <row r="1224" spans="11:11">
      <c r="K1224" s="3"/>
    </row>
    <row r="1225" spans="11:11">
      <c r="K1225" s="3"/>
    </row>
    <row r="1226" spans="11:11">
      <c r="K1226" s="3"/>
    </row>
    <row r="1227" spans="11:11">
      <c r="K1227" s="3"/>
    </row>
    <row r="1228" spans="11:11">
      <c r="K1228" s="3"/>
    </row>
    <row r="1229" spans="11:11">
      <c r="K1229" s="3"/>
    </row>
    <row r="1230" spans="11:11">
      <c r="K1230" s="3"/>
    </row>
    <row r="1231" spans="11:11">
      <c r="K1231" s="3"/>
    </row>
    <row r="1232" spans="11:11">
      <c r="K1232" s="3"/>
    </row>
    <row r="1233" spans="11:11">
      <c r="K1233" s="3"/>
    </row>
    <row r="1234" spans="11:11">
      <c r="K1234" s="3"/>
    </row>
    <row r="1235" spans="11:11">
      <c r="K1235" s="3"/>
    </row>
    <row r="1236" spans="11:11">
      <c r="K1236" s="3"/>
    </row>
    <row r="1237" spans="11:11">
      <c r="K1237" s="3"/>
    </row>
    <row r="1238" spans="11:11">
      <c r="K1238" s="3"/>
    </row>
    <row r="1239" spans="11:11">
      <c r="K1239" s="3"/>
    </row>
  </sheetData>
  <pageMargins left="0" right="0" top="0" bottom="0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7B25-8547-485A-918C-5EE1F391AE60}">
  <dimension ref="B1:BE813"/>
  <sheetViews>
    <sheetView topLeftCell="U654" zoomScaleNormal="100" workbookViewId="0">
      <selection activeCell="B1" sqref="B1:AR666"/>
    </sheetView>
  </sheetViews>
  <sheetFormatPr defaultRowHeight="15"/>
  <cols>
    <col min="1" max="1" width="0.85546875" customWidth="1"/>
    <col min="2" max="2" width="7" customWidth="1"/>
    <col min="3" max="3" width="20" style="40" customWidth="1"/>
    <col min="4" max="4" width="6.2851562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1.7109375" customWidth="1"/>
    <col min="15" max="15" width="14.28515625" customWidth="1"/>
    <col min="16" max="16" width="7.7109375" customWidth="1"/>
    <col min="17" max="17" width="8.140625" customWidth="1"/>
    <col min="18" max="18" width="8.28515625" customWidth="1"/>
    <col min="19" max="19" width="7.7109375" customWidth="1"/>
    <col min="20" max="20" width="8.5703125" customWidth="1"/>
    <col min="21" max="21" width="8" customWidth="1"/>
    <col min="22" max="22" width="8.28515625" customWidth="1"/>
    <col min="23" max="23" width="9.140625" customWidth="1"/>
    <col min="24" max="24" width="9.85546875" customWidth="1"/>
    <col min="25" max="25" width="9" customWidth="1"/>
    <col min="26" max="26" width="2" customWidth="1"/>
    <col min="27" max="27" width="14.85546875" customWidth="1"/>
    <col min="28" max="28" width="8" customWidth="1"/>
    <col min="29" max="29" width="7.5703125" customWidth="1"/>
    <col min="30" max="30" width="9.28515625" customWidth="1"/>
    <col min="31" max="31" width="9.140625" customWidth="1"/>
    <col min="32" max="32" width="8.140625" customWidth="1"/>
    <col min="33" max="33" width="8.5703125" customWidth="1"/>
    <col min="34" max="34" width="8.140625" customWidth="1"/>
    <col min="35" max="35" width="8.7109375" customWidth="1"/>
    <col min="36" max="36" width="8.140625" customWidth="1"/>
    <col min="37" max="37" width="7.85546875" customWidth="1"/>
    <col min="38" max="38" width="2.42578125" customWidth="1"/>
    <col min="39" max="39" width="14.140625" customWidth="1"/>
    <col min="40" max="40" width="11.5703125" customWidth="1"/>
    <col min="41" max="41" width="13" customWidth="1"/>
    <col min="42" max="42" width="13.42578125" customWidth="1"/>
    <col min="43" max="43" width="11.42578125" customWidth="1"/>
    <col min="44" max="44" width="10.7109375" customWidth="1"/>
  </cols>
  <sheetData>
    <row r="1" spans="2:44" ht="12" customHeight="1"/>
    <row r="2" spans="2:44" ht="14.25" customHeight="1">
      <c r="C2" s="171" t="s">
        <v>551</v>
      </c>
      <c r="G2" s="2"/>
      <c r="H2" s="2"/>
      <c r="I2" s="2"/>
      <c r="L2" s="2"/>
      <c r="O2" t="s">
        <v>872</v>
      </c>
      <c r="AA2" t="s">
        <v>872</v>
      </c>
    </row>
    <row r="3" spans="2:44" ht="15.75" thickBot="1">
      <c r="C3"/>
      <c r="D3" s="94" t="s">
        <v>354</v>
      </c>
      <c r="F3" s="15"/>
      <c r="K3" s="87"/>
      <c r="O3" s="94" t="s">
        <v>146</v>
      </c>
      <c r="P3" s="201" t="s">
        <v>513</v>
      </c>
      <c r="U3" s="129" t="s">
        <v>174</v>
      </c>
      <c r="W3" s="45" t="s">
        <v>558</v>
      </c>
      <c r="X3" s="63"/>
      <c r="Y3" s="1567"/>
      <c r="AA3" s="94" t="s">
        <v>146</v>
      </c>
      <c r="AB3" s="201" t="s">
        <v>513</v>
      </c>
      <c r="AG3" s="129" t="s">
        <v>174</v>
      </c>
      <c r="AI3" s="45" t="s">
        <v>558</v>
      </c>
      <c r="AJ3" s="63"/>
    </row>
    <row r="4" spans="2:44" ht="13.5" customHeight="1" thickBot="1">
      <c r="AM4" s="37"/>
      <c r="AN4" s="312" t="s">
        <v>893</v>
      </c>
      <c r="AO4" s="38"/>
      <c r="AP4" s="38"/>
      <c r="AQ4" s="38"/>
      <c r="AR4" s="50"/>
    </row>
    <row r="5" spans="2:44" ht="13.5" customHeight="1" thickBot="1">
      <c r="C5" s="1" t="s">
        <v>552</v>
      </c>
      <c r="P5" s="2208" t="s">
        <v>930</v>
      </c>
      <c r="Q5" s="184"/>
      <c r="R5" s="184"/>
      <c r="S5" s="184"/>
      <c r="T5" s="184"/>
      <c r="U5" s="184"/>
      <c r="V5" s="184"/>
      <c r="W5" s="184"/>
      <c r="X5" s="2170"/>
      <c r="AA5" s="1612" t="s">
        <v>508</v>
      </c>
      <c r="AB5" s="1676" t="s">
        <v>886</v>
      </c>
      <c r="AC5" s="1602"/>
      <c r="AD5" s="1676" t="s">
        <v>885</v>
      </c>
      <c r="AE5" s="1602"/>
      <c r="AF5" s="1676" t="s">
        <v>887</v>
      </c>
      <c r="AG5" s="1602"/>
      <c r="AH5" s="1676" t="s">
        <v>888</v>
      </c>
      <c r="AI5" s="1602"/>
      <c r="AJ5" s="1798" t="s">
        <v>890</v>
      </c>
      <c r="AK5" s="1602"/>
      <c r="AM5" s="1612" t="s">
        <v>508</v>
      </c>
      <c r="AN5" s="1862" t="s">
        <v>892</v>
      </c>
      <c r="AO5" s="1832"/>
      <c r="AP5" s="1612" t="s">
        <v>508</v>
      </c>
      <c r="AQ5" s="1861" t="s">
        <v>892</v>
      </c>
      <c r="AR5" s="1841"/>
    </row>
    <row r="6" spans="2:44" ht="13.5" customHeight="1" thickBot="1">
      <c r="C6" s="1" t="s">
        <v>553</v>
      </c>
      <c r="K6" s="517"/>
      <c r="L6" s="911"/>
      <c r="P6" s="212" t="s">
        <v>929</v>
      </c>
      <c r="Q6" s="329"/>
      <c r="R6" s="329"/>
      <c r="S6" s="329"/>
      <c r="T6" s="329"/>
      <c r="U6" s="329"/>
      <c r="V6" s="329"/>
      <c r="W6" s="329"/>
      <c r="X6" s="1183"/>
      <c r="AA6" s="2003" t="s">
        <v>67</v>
      </c>
      <c r="AB6" s="1621" t="s">
        <v>119</v>
      </c>
      <c r="AC6" s="1664" t="s">
        <v>120</v>
      </c>
      <c r="AD6" s="1637" t="s">
        <v>119</v>
      </c>
      <c r="AE6" s="1638" t="s">
        <v>120</v>
      </c>
      <c r="AF6" s="1637" t="s">
        <v>119</v>
      </c>
      <c r="AG6" s="1638" t="s">
        <v>120</v>
      </c>
      <c r="AH6" s="1621" t="s">
        <v>119</v>
      </c>
      <c r="AI6" s="1622" t="s">
        <v>120</v>
      </c>
      <c r="AJ6" s="1799" t="s">
        <v>119</v>
      </c>
      <c r="AK6" s="1622" t="s">
        <v>120</v>
      </c>
      <c r="AM6" s="871"/>
      <c r="AN6" s="1863" t="s">
        <v>119</v>
      </c>
      <c r="AO6" s="1833" t="s">
        <v>120</v>
      </c>
      <c r="AP6" s="2003" t="s">
        <v>67</v>
      </c>
      <c r="AQ6" s="1864" t="s">
        <v>119</v>
      </c>
      <c r="AR6" s="1842" t="s">
        <v>120</v>
      </c>
    </row>
    <row r="7" spans="2:44">
      <c r="C7" s="1" t="s">
        <v>553</v>
      </c>
      <c r="E7" t="s">
        <v>554</v>
      </c>
      <c r="K7" s="2207"/>
      <c r="AA7" s="1656" t="s">
        <v>159</v>
      </c>
      <c r="AB7" s="1778"/>
      <c r="AC7" s="1635"/>
      <c r="AD7" s="1788">
        <f>L30</f>
        <v>12.5</v>
      </c>
      <c r="AE7" s="1675">
        <f>M30</f>
        <v>11.1</v>
      </c>
      <c r="AF7" s="1792"/>
      <c r="AG7" s="1752"/>
      <c r="AH7" s="1792">
        <f>AB7+AD7</f>
        <v>12.5</v>
      </c>
      <c r="AI7" s="1744">
        <f>AC7+AE7</f>
        <v>11.1</v>
      </c>
      <c r="AJ7" s="1792">
        <f>AD7+AF7</f>
        <v>12.5</v>
      </c>
      <c r="AK7" s="1642">
        <f>AE7+AG7</f>
        <v>11.1</v>
      </c>
      <c r="AM7" s="1623" t="s">
        <v>165</v>
      </c>
      <c r="AN7" s="1829">
        <f t="shared" ref="AN7:AN41" si="0">P11+R11+T11</f>
        <v>80</v>
      </c>
      <c r="AO7" s="1826">
        <f t="shared" ref="AO7:AO41" si="1">Q11+S11+U11</f>
        <v>80</v>
      </c>
      <c r="AP7" s="1656" t="s">
        <v>159</v>
      </c>
      <c r="AQ7" s="1829">
        <f t="shared" ref="AQ7:AQ22" si="2">AB7+AD7+AF7</f>
        <v>12.5</v>
      </c>
      <c r="AR7" s="1808">
        <f t="shared" ref="AR7:AR22" si="3">AC7+AE7+AG7</f>
        <v>11.1</v>
      </c>
    </row>
    <row r="8" spans="2:44" ht="15.75" thickBot="1">
      <c r="C8" s="1" t="s">
        <v>555</v>
      </c>
      <c r="E8" t="s">
        <v>556</v>
      </c>
      <c r="AA8" s="1657" t="s">
        <v>70</v>
      </c>
      <c r="AB8" s="444"/>
      <c r="AC8" s="841"/>
      <c r="AD8" s="1789"/>
      <c r="AE8" s="1604"/>
      <c r="AF8" s="1789"/>
      <c r="AG8" s="1753"/>
      <c r="AH8" s="1789">
        <f t="shared" ref="AH8:AH44" si="4">AB8+AD8</f>
        <v>0</v>
      </c>
      <c r="AI8" s="1643">
        <f t="shared" ref="AI8:AI22" si="5">AC8+AE8</f>
        <v>0</v>
      </c>
      <c r="AJ8" s="1789">
        <f t="shared" ref="AJ8:AJ45" si="6">AD8+AF8</f>
        <v>0</v>
      </c>
      <c r="AK8" s="1645">
        <f t="shared" ref="AK8:AK22" si="7">AE8+AG8</f>
        <v>0</v>
      </c>
      <c r="AM8" s="1613" t="s">
        <v>164</v>
      </c>
      <c r="AN8" s="1830">
        <f t="shared" si="0"/>
        <v>145</v>
      </c>
      <c r="AO8" s="1823">
        <f t="shared" si="1"/>
        <v>145</v>
      </c>
      <c r="AP8" s="1657" t="s">
        <v>70</v>
      </c>
      <c r="AQ8" s="1830">
        <f t="shared" si="2"/>
        <v>0</v>
      </c>
      <c r="AR8" s="1809">
        <f t="shared" si="3"/>
        <v>0</v>
      </c>
    </row>
    <row r="9" spans="2:44" ht="15.75" customHeight="1">
      <c r="C9" s="1" t="s">
        <v>555</v>
      </c>
      <c r="E9" t="s">
        <v>557</v>
      </c>
      <c r="O9" s="1612" t="s">
        <v>508</v>
      </c>
      <c r="P9" s="1676" t="s">
        <v>886</v>
      </c>
      <c r="Q9" s="1602"/>
      <c r="R9" s="1676" t="s">
        <v>885</v>
      </c>
      <c r="S9" s="1602"/>
      <c r="T9" s="1676" t="s">
        <v>887</v>
      </c>
      <c r="U9" s="1602"/>
      <c r="V9" s="1676" t="s">
        <v>889</v>
      </c>
      <c r="W9" s="1602"/>
      <c r="X9" s="1676" t="s">
        <v>891</v>
      </c>
      <c r="Y9" s="1602"/>
      <c r="AA9" s="1658" t="s">
        <v>72</v>
      </c>
      <c r="AB9" s="444"/>
      <c r="AC9" s="842"/>
      <c r="AD9" s="1789"/>
      <c r="AE9" s="1604"/>
      <c r="AF9" s="1789"/>
      <c r="AG9" s="1753"/>
      <c r="AH9" s="1789">
        <f t="shared" si="4"/>
        <v>0</v>
      </c>
      <c r="AI9" s="1643">
        <f t="shared" si="5"/>
        <v>0</v>
      </c>
      <c r="AJ9" s="1789">
        <f t="shared" si="6"/>
        <v>0</v>
      </c>
      <c r="AK9" s="1645">
        <f t="shared" si="7"/>
        <v>0</v>
      </c>
      <c r="AM9" s="1613" t="s">
        <v>92</v>
      </c>
      <c r="AN9" s="1830">
        <f t="shared" si="0"/>
        <v>4.1399999999999997</v>
      </c>
      <c r="AO9" s="1823">
        <f t="shared" si="1"/>
        <v>4.1399999999999997</v>
      </c>
      <c r="AP9" s="1658" t="s">
        <v>72</v>
      </c>
      <c r="AQ9" s="1830">
        <f t="shared" si="2"/>
        <v>0</v>
      </c>
      <c r="AR9" s="1809">
        <f t="shared" si="3"/>
        <v>0</v>
      </c>
    </row>
    <row r="10" spans="2:44" ht="13.5" customHeight="1" thickBot="1">
      <c r="O10" s="871"/>
      <c r="P10" s="1621" t="s">
        <v>119</v>
      </c>
      <c r="Q10" s="1622" t="s">
        <v>120</v>
      </c>
      <c r="R10" s="1621" t="s">
        <v>119</v>
      </c>
      <c r="S10" s="1622" t="s">
        <v>120</v>
      </c>
      <c r="T10" s="1621" t="s">
        <v>119</v>
      </c>
      <c r="U10" s="1622" t="s">
        <v>120</v>
      </c>
      <c r="V10" s="1621" t="s">
        <v>119</v>
      </c>
      <c r="W10" s="1622" t="s">
        <v>120</v>
      </c>
      <c r="X10" s="1621" t="s">
        <v>119</v>
      </c>
      <c r="Y10" s="1664" t="s">
        <v>120</v>
      </c>
      <c r="AA10" s="1658" t="s">
        <v>74</v>
      </c>
      <c r="AB10" s="444"/>
      <c r="AC10" s="843"/>
      <c r="AD10" s="1789"/>
      <c r="AE10" s="1604"/>
      <c r="AF10" s="1789"/>
      <c r="AG10" s="1753"/>
      <c r="AH10" s="1789">
        <f t="shared" si="4"/>
        <v>0</v>
      </c>
      <c r="AI10" s="1643">
        <f t="shared" si="5"/>
        <v>0</v>
      </c>
      <c r="AJ10" s="1789">
        <f t="shared" si="6"/>
        <v>0</v>
      </c>
      <c r="AK10" s="1645">
        <f t="shared" si="7"/>
        <v>0</v>
      </c>
      <c r="AM10" s="1614" t="s">
        <v>873</v>
      </c>
      <c r="AN10" s="1827">
        <f t="shared" si="0"/>
        <v>31</v>
      </c>
      <c r="AO10" s="1745">
        <f t="shared" si="1"/>
        <v>31</v>
      </c>
      <c r="AP10" s="1658" t="s">
        <v>74</v>
      </c>
      <c r="AQ10" s="1830">
        <f t="shared" si="2"/>
        <v>0</v>
      </c>
      <c r="AR10" s="1809">
        <f t="shared" si="3"/>
        <v>0</v>
      </c>
    </row>
    <row r="11" spans="2:44" ht="13.5" customHeight="1">
      <c r="B11" s="2" t="s">
        <v>513</v>
      </c>
      <c r="F11" s="129" t="s">
        <v>174</v>
      </c>
      <c r="I11" s="13" t="s">
        <v>558</v>
      </c>
      <c r="K11" s="346"/>
      <c r="O11" s="1623" t="s">
        <v>165</v>
      </c>
      <c r="P11" s="1723">
        <f>D22</f>
        <v>40</v>
      </c>
      <c r="Q11" s="1624">
        <f>D22</f>
        <v>40</v>
      </c>
      <c r="R11" s="1731">
        <f>D35</f>
        <v>40</v>
      </c>
      <c r="S11" s="1642">
        <f>D35</f>
        <v>40</v>
      </c>
      <c r="T11" s="1731"/>
      <c r="U11" s="1736"/>
      <c r="V11" s="1731">
        <f>P11+R11</f>
        <v>80</v>
      </c>
      <c r="W11" s="1744">
        <f>Q11+S11</f>
        <v>80</v>
      </c>
      <c r="X11" s="1731">
        <f>R11+T11</f>
        <v>40</v>
      </c>
      <c r="Y11" s="1642">
        <f>S11+U11</f>
        <v>40</v>
      </c>
      <c r="AA11" s="1657" t="s">
        <v>112</v>
      </c>
      <c r="AB11" s="444"/>
      <c r="AC11" s="842"/>
      <c r="AD11" s="1789">
        <f>F33+L29</f>
        <v>19.5</v>
      </c>
      <c r="AE11" s="1604">
        <f>G33+M29</f>
        <v>19.5</v>
      </c>
      <c r="AF11" s="1789"/>
      <c r="AG11" s="1753"/>
      <c r="AH11" s="1789">
        <f t="shared" si="4"/>
        <v>19.5</v>
      </c>
      <c r="AI11" s="1643">
        <f t="shared" si="5"/>
        <v>19.5</v>
      </c>
      <c r="AJ11" s="1789">
        <f t="shared" si="6"/>
        <v>19.5</v>
      </c>
      <c r="AK11" s="1645">
        <f t="shared" si="7"/>
        <v>19.5</v>
      </c>
      <c r="AM11" s="1613" t="s">
        <v>123</v>
      </c>
      <c r="AN11" s="1830">
        <f t="shared" si="0"/>
        <v>49.1</v>
      </c>
      <c r="AO11" s="1823">
        <f t="shared" si="1"/>
        <v>49.1</v>
      </c>
      <c r="AP11" s="1657" t="s">
        <v>112</v>
      </c>
      <c r="AQ11" s="1830">
        <f t="shared" si="2"/>
        <v>19.5</v>
      </c>
      <c r="AR11" s="1809">
        <f t="shared" si="3"/>
        <v>19.5</v>
      </c>
    </row>
    <row r="12" spans="2:44" ht="15.75" thickBot="1">
      <c r="C12"/>
      <c r="D12" s="94"/>
      <c r="F12" s="15"/>
      <c r="K12" s="87"/>
      <c r="O12" s="1613" t="s">
        <v>164</v>
      </c>
      <c r="P12" s="1724">
        <f>D21</f>
        <v>40</v>
      </c>
      <c r="Q12" s="1625">
        <f>D21</f>
        <v>40</v>
      </c>
      <c r="R12" s="1724">
        <f>D34</f>
        <v>70</v>
      </c>
      <c r="S12" s="1147">
        <f>D34</f>
        <v>70</v>
      </c>
      <c r="T12" s="1724">
        <f>J45</f>
        <v>35</v>
      </c>
      <c r="U12" s="1625">
        <f>J45</f>
        <v>35</v>
      </c>
      <c r="V12" s="1724">
        <f t="shared" ref="V12:V41" si="8">P12+R12</f>
        <v>110</v>
      </c>
      <c r="W12" s="1643">
        <f t="shared" ref="W12:W42" si="9">Q12+S12</f>
        <v>110</v>
      </c>
      <c r="X12" s="1724">
        <f t="shared" ref="X12:X45" si="10">R12+T12</f>
        <v>105</v>
      </c>
      <c r="Y12" s="1645">
        <f t="shared" ref="Y12:Y42" si="11">S12+U12</f>
        <v>105</v>
      </c>
      <c r="AA12" s="1658" t="s">
        <v>161</v>
      </c>
      <c r="AB12" s="444"/>
      <c r="AC12" s="842"/>
      <c r="AD12" s="1789">
        <f>L31</f>
        <v>1.2</v>
      </c>
      <c r="AE12" s="1604">
        <f>M31</f>
        <v>1.1000000000000001</v>
      </c>
      <c r="AF12" s="1789"/>
      <c r="AG12" s="1753"/>
      <c r="AH12" s="1789">
        <f t="shared" si="4"/>
        <v>1.2</v>
      </c>
      <c r="AI12" s="1643">
        <f t="shared" si="5"/>
        <v>1.1000000000000001</v>
      </c>
      <c r="AJ12" s="1789">
        <f t="shared" si="6"/>
        <v>1.2</v>
      </c>
      <c r="AK12" s="1645">
        <f t="shared" si="7"/>
        <v>1.1000000000000001</v>
      </c>
      <c r="AM12" s="556" t="s">
        <v>52</v>
      </c>
      <c r="AN12" s="1830">
        <f t="shared" si="0"/>
        <v>26.75</v>
      </c>
      <c r="AO12" s="1823">
        <f t="shared" si="1"/>
        <v>20</v>
      </c>
      <c r="AP12" s="1658" t="s">
        <v>161</v>
      </c>
      <c r="AQ12" s="1830">
        <f t="shared" si="2"/>
        <v>1.2</v>
      </c>
      <c r="AR12" s="1809">
        <f t="shared" si="3"/>
        <v>1.1000000000000001</v>
      </c>
    </row>
    <row r="13" spans="2:44">
      <c r="B13" s="25" t="s">
        <v>2</v>
      </c>
      <c r="C13" s="83" t="s">
        <v>3</v>
      </c>
      <c r="D13" s="84" t="s">
        <v>4</v>
      </c>
      <c r="E13" s="88" t="s">
        <v>69</v>
      </c>
      <c r="F13" s="68"/>
      <c r="G13" s="68"/>
      <c r="H13" s="68"/>
      <c r="I13" s="68"/>
      <c r="J13" s="68"/>
      <c r="K13" s="68"/>
      <c r="L13" s="68"/>
      <c r="M13" s="54"/>
      <c r="O13" s="1613" t="s">
        <v>92</v>
      </c>
      <c r="P13" s="1724"/>
      <c r="Q13" s="1626"/>
      <c r="R13" s="1724">
        <f>I31</f>
        <v>4.1399999999999997</v>
      </c>
      <c r="S13" s="1643">
        <f>J31</f>
        <v>4.1399999999999997</v>
      </c>
      <c r="T13" s="1724"/>
      <c r="U13" s="1737"/>
      <c r="V13" s="1724">
        <f t="shared" si="8"/>
        <v>4.1399999999999997</v>
      </c>
      <c r="W13" s="1643">
        <f t="shared" si="9"/>
        <v>4.1399999999999997</v>
      </c>
      <c r="X13" s="1724">
        <f t="shared" si="10"/>
        <v>4.1399999999999997</v>
      </c>
      <c r="Y13" s="1645">
        <f t="shared" si="11"/>
        <v>4.1399999999999997</v>
      </c>
      <c r="AA13" s="1658" t="s">
        <v>155</v>
      </c>
      <c r="AB13" s="444"/>
      <c r="AC13" s="842"/>
      <c r="AD13" s="1789">
        <f>F28</f>
        <v>25</v>
      </c>
      <c r="AE13" s="1604">
        <f>G28</f>
        <v>20</v>
      </c>
      <c r="AF13" s="1789"/>
      <c r="AG13" s="1753"/>
      <c r="AH13" s="1789">
        <f t="shared" si="4"/>
        <v>25</v>
      </c>
      <c r="AI13" s="1643">
        <f t="shared" si="5"/>
        <v>20</v>
      </c>
      <c r="AJ13" s="1789">
        <f t="shared" si="6"/>
        <v>25</v>
      </c>
      <c r="AK13" s="1645">
        <f t="shared" si="7"/>
        <v>20</v>
      </c>
      <c r="AM13" s="1615" t="s">
        <v>874</v>
      </c>
      <c r="AN13" s="1828">
        <f t="shared" si="0"/>
        <v>249.68</v>
      </c>
      <c r="AO13" s="1746">
        <f t="shared" si="1"/>
        <v>211.7</v>
      </c>
      <c r="AP13" s="1658" t="s">
        <v>155</v>
      </c>
      <c r="AQ13" s="1830">
        <f t="shared" si="2"/>
        <v>25</v>
      </c>
      <c r="AR13" s="1809">
        <f t="shared" si="3"/>
        <v>20</v>
      </c>
    </row>
    <row r="14" spans="2:44" ht="14.25" customHeight="1" thickBot="1">
      <c r="B14" s="287" t="s">
        <v>5</v>
      </c>
      <c r="C14"/>
      <c r="D14" s="288" t="s">
        <v>71</v>
      </c>
      <c r="E14" s="57"/>
      <c r="F14" s="29"/>
      <c r="G14" s="29"/>
      <c r="H14" s="29"/>
      <c r="I14" s="29"/>
      <c r="J14" s="29"/>
      <c r="K14" s="29"/>
      <c r="L14" s="29"/>
      <c r="M14" s="74"/>
      <c r="O14" s="1614" t="s">
        <v>873</v>
      </c>
      <c r="P14" s="1725">
        <f t="shared" ref="P14:U14" si="12">AB45</f>
        <v>31</v>
      </c>
      <c r="Q14" s="1627">
        <f t="shared" si="12"/>
        <v>31</v>
      </c>
      <c r="R14" s="1725">
        <f t="shared" si="12"/>
        <v>0</v>
      </c>
      <c r="S14" s="1644">
        <f t="shared" si="12"/>
        <v>0</v>
      </c>
      <c r="T14" s="1725">
        <f t="shared" si="12"/>
        <v>0</v>
      </c>
      <c r="U14" s="1683">
        <f t="shared" si="12"/>
        <v>0</v>
      </c>
      <c r="V14" s="1725">
        <f t="shared" si="8"/>
        <v>31</v>
      </c>
      <c r="W14" s="1745">
        <f t="shared" si="9"/>
        <v>31</v>
      </c>
      <c r="X14" s="1725">
        <f t="shared" si="10"/>
        <v>0</v>
      </c>
      <c r="Y14" s="1644">
        <f t="shared" si="11"/>
        <v>0</v>
      </c>
      <c r="AA14" s="1658" t="s">
        <v>158</v>
      </c>
      <c r="AB14" s="444"/>
      <c r="AC14" s="844"/>
      <c r="AD14" s="1789"/>
      <c r="AE14" s="1604"/>
      <c r="AF14" s="1789"/>
      <c r="AG14" s="1753"/>
      <c r="AH14" s="1789">
        <f t="shared" si="4"/>
        <v>0</v>
      </c>
      <c r="AI14" s="1643">
        <f t="shared" si="5"/>
        <v>0</v>
      </c>
      <c r="AJ14" s="1789">
        <f t="shared" si="6"/>
        <v>0</v>
      </c>
      <c r="AK14" s="1645">
        <f t="shared" si="7"/>
        <v>0</v>
      </c>
      <c r="AM14" s="1613" t="s">
        <v>82</v>
      </c>
      <c r="AN14" s="1830">
        <f t="shared" si="0"/>
        <v>279.17500000000001</v>
      </c>
      <c r="AO14" s="1823">
        <f t="shared" si="1"/>
        <v>215</v>
      </c>
      <c r="AP14" s="1658" t="s">
        <v>158</v>
      </c>
      <c r="AQ14" s="1830">
        <f t="shared" si="2"/>
        <v>0</v>
      </c>
      <c r="AR14" s="1809">
        <f t="shared" si="3"/>
        <v>0</v>
      </c>
    </row>
    <row r="15" spans="2:44" ht="15" customHeight="1" thickBot="1">
      <c r="B15" s="322" t="s">
        <v>146</v>
      </c>
      <c r="C15" s="466"/>
      <c r="D15" s="518"/>
      <c r="E15" s="501" t="s">
        <v>394</v>
      </c>
      <c r="F15" s="519"/>
      <c r="G15" s="520"/>
      <c r="H15" s="745" t="s">
        <v>147</v>
      </c>
      <c r="I15" s="38"/>
      <c r="J15" s="50"/>
      <c r="K15" s="2565" t="s">
        <v>1003</v>
      </c>
      <c r="L15" s="38"/>
      <c r="M15" s="50"/>
      <c r="O15" s="1613" t="s">
        <v>123</v>
      </c>
      <c r="P15" s="1724"/>
      <c r="Q15" s="1587"/>
      <c r="R15" s="1724">
        <f>L27</f>
        <v>49.1</v>
      </c>
      <c r="S15" s="1645">
        <f>M27</f>
        <v>49.1</v>
      </c>
      <c r="T15" s="1724"/>
      <c r="U15" s="1601"/>
      <c r="V15" s="1724">
        <f t="shared" si="8"/>
        <v>49.1</v>
      </c>
      <c r="W15" s="1643">
        <f t="shared" si="9"/>
        <v>49.1</v>
      </c>
      <c r="X15" s="1724">
        <f t="shared" si="10"/>
        <v>49.1</v>
      </c>
      <c r="Y15" s="1645">
        <f t="shared" si="11"/>
        <v>49.1</v>
      </c>
      <c r="AA15" s="1658" t="s">
        <v>101</v>
      </c>
      <c r="AB15" s="444"/>
      <c r="AC15" s="844"/>
      <c r="AD15" s="1789">
        <f>F31+I35</f>
        <v>26.28</v>
      </c>
      <c r="AE15" s="1604">
        <f>G31+J35</f>
        <v>22</v>
      </c>
      <c r="AF15" s="1789"/>
      <c r="AG15" s="1753"/>
      <c r="AH15" s="1789">
        <f t="shared" si="4"/>
        <v>26.28</v>
      </c>
      <c r="AI15" s="1643">
        <f t="shared" si="5"/>
        <v>22</v>
      </c>
      <c r="AJ15" s="1789">
        <f t="shared" si="6"/>
        <v>26.28</v>
      </c>
      <c r="AK15" s="1645">
        <f t="shared" si="7"/>
        <v>22</v>
      </c>
      <c r="AM15" s="1616" t="s">
        <v>122</v>
      </c>
      <c r="AN15" s="1830">
        <f t="shared" si="0"/>
        <v>0</v>
      </c>
      <c r="AO15" s="1823">
        <f t="shared" si="1"/>
        <v>0</v>
      </c>
      <c r="AP15" s="1658" t="s">
        <v>101</v>
      </c>
      <c r="AQ15" s="1830">
        <f t="shared" si="2"/>
        <v>26.28</v>
      </c>
      <c r="AR15" s="1809">
        <f t="shared" si="3"/>
        <v>22</v>
      </c>
    </row>
    <row r="16" spans="2:44" ht="15.75" thickBot="1">
      <c r="B16" s="88"/>
      <c r="C16" s="162" t="s">
        <v>199</v>
      </c>
      <c r="D16" s="54"/>
      <c r="E16" s="859" t="s">
        <v>342</v>
      </c>
      <c r="F16" s="521"/>
      <c r="G16" s="522"/>
      <c r="H16" s="339" t="s">
        <v>118</v>
      </c>
      <c r="I16" s="102" t="s">
        <v>119</v>
      </c>
      <c r="J16" s="465" t="s">
        <v>120</v>
      </c>
      <c r="K16" s="263" t="s">
        <v>118</v>
      </c>
      <c r="L16" s="97" t="s">
        <v>119</v>
      </c>
      <c r="M16" s="135" t="s">
        <v>120</v>
      </c>
      <c r="O16" s="556" t="s">
        <v>52</v>
      </c>
      <c r="P16" s="1724"/>
      <c r="Q16" s="1587"/>
      <c r="R16" s="1724">
        <f>F29</f>
        <v>26.75</v>
      </c>
      <c r="S16" s="1645">
        <f>G29</f>
        <v>20</v>
      </c>
      <c r="T16" s="1724"/>
      <c r="U16" s="1601"/>
      <c r="V16" s="1724">
        <f t="shared" si="8"/>
        <v>26.75</v>
      </c>
      <c r="W16" s="1643">
        <f t="shared" si="9"/>
        <v>20</v>
      </c>
      <c r="X16" s="1724">
        <f t="shared" si="10"/>
        <v>26.75</v>
      </c>
      <c r="Y16" s="1645">
        <f t="shared" si="11"/>
        <v>20</v>
      </c>
      <c r="AA16" s="1658" t="s">
        <v>79</v>
      </c>
      <c r="AB16" s="444"/>
      <c r="AC16" s="842"/>
      <c r="AD16" s="1789">
        <f>F30+L28</f>
        <v>47.4</v>
      </c>
      <c r="AE16" s="1604">
        <f>G30+M28</f>
        <v>38</v>
      </c>
      <c r="AF16" s="1789"/>
      <c r="AG16" s="1753"/>
      <c r="AH16" s="1789">
        <f t="shared" si="4"/>
        <v>47.4</v>
      </c>
      <c r="AI16" s="1643">
        <f t="shared" si="5"/>
        <v>38</v>
      </c>
      <c r="AJ16" s="1789">
        <f t="shared" si="6"/>
        <v>47.4</v>
      </c>
      <c r="AK16" s="1645">
        <f t="shared" si="7"/>
        <v>38</v>
      </c>
      <c r="AM16" s="1613" t="s">
        <v>163</v>
      </c>
      <c r="AN16" s="1830">
        <f t="shared" si="0"/>
        <v>0</v>
      </c>
      <c r="AO16" s="1823">
        <f t="shared" si="1"/>
        <v>0</v>
      </c>
      <c r="AP16" s="1658" t="s">
        <v>79</v>
      </c>
      <c r="AQ16" s="1830">
        <f t="shared" si="2"/>
        <v>47.4</v>
      </c>
      <c r="AR16" s="1809">
        <f t="shared" si="3"/>
        <v>38</v>
      </c>
    </row>
    <row r="17" spans="2:48" ht="15.75" thickBot="1">
      <c r="B17" s="342" t="s">
        <v>842</v>
      </c>
      <c r="C17" s="283" t="s">
        <v>394</v>
      </c>
      <c r="D17" s="166">
        <v>210</v>
      </c>
      <c r="E17" s="319" t="s">
        <v>118</v>
      </c>
      <c r="F17" s="103" t="s">
        <v>119</v>
      </c>
      <c r="G17" s="136" t="s">
        <v>120</v>
      </c>
      <c r="H17" s="100" t="s">
        <v>107</v>
      </c>
      <c r="I17" s="326">
        <v>1</v>
      </c>
      <c r="J17" s="421">
        <v>1</v>
      </c>
      <c r="K17" s="480" t="s">
        <v>328</v>
      </c>
      <c r="L17" s="889">
        <v>119.175</v>
      </c>
      <c r="M17" s="421">
        <v>105</v>
      </c>
      <c r="O17" s="1615" t="s">
        <v>874</v>
      </c>
      <c r="P17" s="1726">
        <f t="shared" ref="P17:U17" si="13">AB22</f>
        <v>0</v>
      </c>
      <c r="Q17" s="1628">
        <f t="shared" si="13"/>
        <v>0</v>
      </c>
      <c r="R17" s="1726">
        <f t="shared" si="13"/>
        <v>249.68</v>
      </c>
      <c r="S17" s="1646">
        <f t="shared" si="13"/>
        <v>211.7</v>
      </c>
      <c r="T17" s="1726">
        <f t="shared" si="13"/>
        <v>0</v>
      </c>
      <c r="U17" s="1738">
        <f t="shared" si="13"/>
        <v>0</v>
      </c>
      <c r="V17" s="1726">
        <f>P17+R17</f>
        <v>249.68</v>
      </c>
      <c r="W17" s="1746">
        <f t="shared" si="9"/>
        <v>211.7</v>
      </c>
      <c r="X17" s="1726">
        <f>R17+T17</f>
        <v>249.68</v>
      </c>
      <c r="Y17" s="1646">
        <f t="shared" si="11"/>
        <v>211.7</v>
      </c>
      <c r="AA17" s="1658" t="s">
        <v>86</v>
      </c>
      <c r="AB17" s="444"/>
      <c r="AC17" s="845"/>
      <c r="AD17" s="1789">
        <f>F27</f>
        <v>50</v>
      </c>
      <c r="AE17" s="1604">
        <f>G27</f>
        <v>40</v>
      </c>
      <c r="AF17" s="1789"/>
      <c r="AG17" s="1753"/>
      <c r="AH17" s="1789">
        <f t="shared" si="4"/>
        <v>50</v>
      </c>
      <c r="AI17" s="1643">
        <f t="shared" si="5"/>
        <v>40</v>
      </c>
      <c r="AJ17" s="1789">
        <f t="shared" si="6"/>
        <v>50</v>
      </c>
      <c r="AK17" s="1645">
        <f t="shared" si="7"/>
        <v>40</v>
      </c>
      <c r="AM17" s="556" t="s">
        <v>99</v>
      </c>
      <c r="AN17" s="1830">
        <f t="shared" si="0"/>
        <v>2.9449999999999998</v>
      </c>
      <c r="AO17" s="1823">
        <f t="shared" si="1"/>
        <v>2.5</v>
      </c>
      <c r="AP17" s="1658" t="s">
        <v>86</v>
      </c>
      <c r="AQ17" s="1830">
        <f t="shared" si="2"/>
        <v>50</v>
      </c>
      <c r="AR17" s="1809">
        <f t="shared" si="3"/>
        <v>40</v>
      </c>
    </row>
    <row r="18" spans="2:48">
      <c r="B18" s="168"/>
      <c r="C18" s="1099" t="s">
        <v>342</v>
      </c>
      <c r="D18" s="341"/>
      <c r="E18" s="98" t="s">
        <v>234</v>
      </c>
      <c r="F18" s="279">
        <v>31</v>
      </c>
      <c r="G18" s="280">
        <v>31</v>
      </c>
      <c r="H18" s="249" t="s">
        <v>94</v>
      </c>
      <c r="I18" s="877">
        <v>66</v>
      </c>
      <c r="J18" s="236"/>
      <c r="K18" s="513"/>
      <c r="L18" s="184"/>
      <c r="M18" s="165"/>
      <c r="O18" s="1613" t="s">
        <v>82</v>
      </c>
      <c r="P18" s="1727">
        <f t="shared" ref="P18:U18" si="14">AB29</f>
        <v>119.175</v>
      </c>
      <c r="Q18" s="1629">
        <f t="shared" si="14"/>
        <v>105</v>
      </c>
      <c r="R18" s="1727">
        <f t="shared" si="14"/>
        <v>0</v>
      </c>
      <c r="S18" s="1645">
        <f t="shared" si="14"/>
        <v>0</v>
      </c>
      <c r="T18" s="1727">
        <f t="shared" si="14"/>
        <v>160</v>
      </c>
      <c r="U18" s="1601">
        <f t="shared" si="14"/>
        <v>110</v>
      </c>
      <c r="V18" s="1727">
        <f>P18+R18</f>
        <v>119.175</v>
      </c>
      <c r="W18" s="1643">
        <f t="shared" si="9"/>
        <v>105</v>
      </c>
      <c r="X18" s="1727">
        <f>R18+T18</f>
        <v>160</v>
      </c>
      <c r="Y18" s="1645">
        <f t="shared" si="11"/>
        <v>110</v>
      </c>
      <c r="AA18" s="1658" t="s">
        <v>160</v>
      </c>
      <c r="AB18" s="444"/>
      <c r="AC18" s="846"/>
      <c r="AD18" s="1789"/>
      <c r="AE18" s="1604"/>
      <c r="AF18" s="1789"/>
      <c r="AG18" s="1753"/>
      <c r="AH18" s="1789">
        <f t="shared" si="4"/>
        <v>0</v>
      </c>
      <c r="AI18" s="1643">
        <f t="shared" si="5"/>
        <v>0</v>
      </c>
      <c r="AJ18" s="1789">
        <f t="shared" si="6"/>
        <v>0</v>
      </c>
      <c r="AK18" s="1645">
        <f t="shared" si="7"/>
        <v>0</v>
      </c>
      <c r="AM18" s="1613" t="s">
        <v>350</v>
      </c>
      <c r="AN18" s="1830">
        <f t="shared" si="0"/>
        <v>0</v>
      </c>
      <c r="AO18" s="1823">
        <f t="shared" si="1"/>
        <v>0</v>
      </c>
      <c r="AP18" s="1658" t="s">
        <v>160</v>
      </c>
      <c r="AQ18" s="1830">
        <f t="shared" si="2"/>
        <v>0</v>
      </c>
      <c r="AR18" s="1809">
        <f t="shared" si="3"/>
        <v>0</v>
      </c>
    </row>
    <row r="19" spans="2:48" ht="14.25" customHeight="1">
      <c r="B19" s="375" t="s">
        <v>10</v>
      </c>
      <c r="C19" s="241" t="s">
        <v>395</v>
      </c>
      <c r="D19" s="425">
        <v>45</v>
      </c>
      <c r="E19" s="486" t="s">
        <v>93</v>
      </c>
      <c r="F19" s="490">
        <v>173.8</v>
      </c>
      <c r="G19" s="235">
        <v>173.8</v>
      </c>
      <c r="H19" s="186" t="s">
        <v>57</v>
      </c>
      <c r="I19" s="251">
        <v>7</v>
      </c>
      <c r="J19" s="849">
        <v>7</v>
      </c>
      <c r="K19" s="61"/>
      <c r="M19" s="71"/>
      <c r="O19" s="1616" t="s">
        <v>122</v>
      </c>
      <c r="P19" s="1727"/>
      <c r="Q19" s="1587"/>
      <c r="R19" s="1727"/>
      <c r="S19" s="1643"/>
      <c r="T19" s="1727"/>
      <c r="U19" s="1601"/>
      <c r="V19" s="1724">
        <f t="shared" si="8"/>
        <v>0</v>
      </c>
      <c r="W19" s="1643">
        <f t="shared" si="9"/>
        <v>0</v>
      </c>
      <c r="X19" s="1724">
        <f t="shared" si="10"/>
        <v>0</v>
      </c>
      <c r="Y19" s="1645">
        <f t="shared" si="11"/>
        <v>0</v>
      </c>
      <c r="AA19" s="1658" t="s">
        <v>157</v>
      </c>
      <c r="AB19" s="444"/>
      <c r="AC19" s="846"/>
      <c r="AD19" s="1789">
        <f>I39</f>
        <v>67.8</v>
      </c>
      <c r="AE19" s="1604">
        <f>J39</f>
        <v>60</v>
      </c>
      <c r="AF19" s="1789"/>
      <c r="AG19" s="1753"/>
      <c r="AH19" s="1789">
        <f t="shared" si="4"/>
        <v>67.8</v>
      </c>
      <c r="AI19" s="1643">
        <f t="shared" si="5"/>
        <v>60</v>
      </c>
      <c r="AJ19" s="1789">
        <f t="shared" si="6"/>
        <v>67.8</v>
      </c>
      <c r="AK19" s="1645">
        <f t="shared" si="7"/>
        <v>60</v>
      </c>
      <c r="AM19" s="1613" t="s">
        <v>150</v>
      </c>
      <c r="AN19" s="1830">
        <f t="shared" si="0"/>
        <v>0</v>
      </c>
      <c r="AO19" s="1823">
        <f t="shared" si="1"/>
        <v>0</v>
      </c>
      <c r="AP19" s="1658" t="s">
        <v>157</v>
      </c>
      <c r="AQ19" s="1830">
        <f t="shared" si="2"/>
        <v>67.8</v>
      </c>
      <c r="AR19" s="1809">
        <f t="shared" si="3"/>
        <v>60</v>
      </c>
    </row>
    <row r="20" spans="2:48" ht="15" customHeight="1">
      <c r="B20" s="246" t="s">
        <v>622</v>
      </c>
      <c r="C20" s="241" t="s">
        <v>104</v>
      </c>
      <c r="D20" s="285">
        <v>200</v>
      </c>
      <c r="E20" s="185" t="s">
        <v>57</v>
      </c>
      <c r="F20" s="233">
        <v>5.7</v>
      </c>
      <c r="G20" s="247">
        <v>5.7</v>
      </c>
      <c r="H20" s="185" t="s">
        <v>94</v>
      </c>
      <c r="I20" s="1051">
        <v>150</v>
      </c>
      <c r="J20" s="236"/>
      <c r="K20" s="61"/>
      <c r="L20" s="1133"/>
      <c r="M20" s="71"/>
      <c r="O20" s="1613" t="s">
        <v>163</v>
      </c>
      <c r="P20" s="1724"/>
      <c r="Q20" s="1587"/>
      <c r="R20" s="1724"/>
      <c r="S20" s="1645"/>
      <c r="T20" s="1724"/>
      <c r="U20" s="1601"/>
      <c r="V20" s="1724">
        <f t="shared" si="8"/>
        <v>0</v>
      </c>
      <c r="W20" s="1643">
        <f t="shared" si="9"/>
        <v>0</v>
      </c>
      <c r="X20" s="1724">
        <f t="shared" si="10"/>
        <v>0</v>
      </c>
      <c r="Y20" s="1645">
        <f t="shared" si="11"/>
        <v>0</v>
      </c>
      <c r="AA20" s="1658" t="s">
        <v>156</v>
      </c>
      <c r="AB20" s="444"/>
      <c r="AC20" s="845"/>
      <c r="AD20" s="1789"/>
      <c r="AE20" s="1604"/>
      <c r="AF20" s="1789"/>
      <c r="AG20" s="1753"/>
      <c r="AH20" s="1789">
        <f t="shared" si="4"/>
        <v>0</v>
      </c>
      <c r="AI20" s="1643">
        <f t="shared" si="5"/>
        <v>0</v>
      </c>
      <c r="AJ20" s="1789">
        <f t="shared" si="6"/>
        <v>0</v>
      </c>
      <c r="AK20" s="1645">
        <f t="shared" si="7"/>
        <v>0</v>
      </c>
      <c r="AM20" s="1613" t="s">
        <v>75</v>
      </c>
      <c r="AN20" s="1830">
        <f t="shared" si="0"/>
        <v>109.63</v>
      </c>
      <c r="AO20" s="1823">
        <f t="shared" si="1"/>
        <v>88.8</v>
      </c>
      <c r="AP20" s="1658" t="s">
        <v>156</v>
      </c>
      <c r="AQ20" s="1830">
        <f t="shared" si="2"/>
        <v>0</v>
      </c>
      <c r="AR20" s="1809">
        <f t="shared" si="3"/>
        <v>0</v>
      </c>
    </row>
    <row r="21" spans="2:48" ht="13.5" customHeight="1" thickBot="1">
      <c r="B21" s="246" t="s">
        <v>10</v>
      </c>
      <c r="C21" s="241" t="s">
        <v>11</v>
      </c>
      <c r="D21" s="239">
        <v>40</v>
      </c>
      <c r="E21" s="185" t="s">
        <v>95</v>
      </c>
      <c r="F21" s="233">
        <v>10</v>
      </c>
      <c r="G21" s="235">
        <v>10</v>
      </c>
      <c r="H21" s="61"/>
      <c r="J21" s="71"/>
      <c r="K21" s="61"/>
      <c r="M21" s="71"/>
      <c r="O21" s="556" t="s">
        <v>895</v>
      </c>
      <c r="P21" s="1724">
        <f t="shared" ref="P21:U21" si="15">AB32</f>
        <v>0</v>
      </c>
      <c r="Q21" s="1587">
        <f t="shared" si="15"/>
        <v>0</v>
      </c>
      <c r="R21" s="1724">
        <f t="shared" si="15"/>
        <v>2.9449999999999998</v>
      </c>
      <c r="S21" s="1645">
        <f t="shared" si="15"/>
        <v>2.5</v>
      </c>
      <c r="T21" s="1724">
        <f t="shared" si="15"/>
        <v>0</v>
      </c>
      <c r="U21" s="1601">
        <f t="shared" si="15"/>
        <v>0</v>
      </c>
      <c r="V21" s="1724">
        <f t="shared" si="8"/>
        <v>2.9449999999999998</v>
      </c>
      <c r="W21" s="1643">
        <f t="shared" si="9"/>
        <v>2.5</v>
      </c>
      <c r="X21" s="1724">
        <f t="shared" si="10"/>
        <v>2.9449999999999998</v>
      </c>
      <c r="Y21" s="1645">
        <f t="shared" si="11"/>
        <v>2.5</v>
      </c>
      <c r="AA21" s="127" t="s">
        <v>209</v>
      </c>
      <c r="AB21" s="1779"/>
      <c r="AC21" s="1710"/>
      <c r="AD21" s="1790"/>
      <c r="AE21" s="1711"/>
      <c r="AF21" s="1790"/>
      <c r="AG21" s="1754"/>
      <c r="AH21" s="1790">
        <f t="shared" si="4"/>
        <v>0</v>
      </c>
      <c r="AI21" s="1763">
        <f t="shared" si="5"/>
        <v>0</v>
      </c>
      <c r="AJ21" s="1790">
        <f t="shared" si="6"/>
        <v>0</v>
      </c>
      <c r="AK21" s="1805">
        <f t="shared" si="7"/>
        <v>0</v>
      </c>
      <c r="AM21" s="1613" t="s">
        <v>68</v>
      </c>
      <c r="AN21" s="1830">
        <f t="shared" si="0"/>
        <v>415.8</v>
      </c>
      <c r="AO21" s="1823">
        <f t="shared" si="1"/>
        <v>415.8</v>
      </c>
      <c r="AP21" s="127" t="s">
        <v>209</v>
      </c>
      <c r="AQ21" s="1834">
        <f t="shared" si="2"/>
        <v>0</v>
      </c>
      <c r="AR21" s="1810">
        <f t="shared" si="3"/>
        <v>0</v>
      </c>
    </row>
    <row r="22" spans="2:48" ht="15.75" thickBot="1">
      <c r="B22" s="246" t="s">
        <v>10</v>
      </c>
      <c r="C22" s="241" t="s">
        <v>792</v>
      </c>
      <c r="D22" s="239">
        <v>40</v>
      </c>
      <c r="E22" s="185" t="s">
        <v>97</v>
      </c>
      <c r="F22" s="271">
        <v>0.3</v>
      </c>
      <c r="G22" s="737">
        <v>0.3</v>
      </c>
      <c r="H22" s="61"/>
      <c r="J22" s="71"/>
      <c r="K22" s="61"/>
      <c r="M22" s="71"/>
      <c r="O22" s="1613" t="s">
        <v>894</v>
      </c>
      <c r="P22" s="1724">
        <f t="shared" ref="P22:U22" si="16">AB36</f>
        <v>0</v>
      </c>
      <c r="Q22" s="1629">
        <f t="shared" si="16"/>
        <v>0</v>
      </c>
      <c r="R22" s="1724">
        <f t="shared" si="16"/>
        <v>0</v>
      </c>
      <c r="S22" s="1643">
        <f t="shared" si="16"/>
        <v>0</v>
      </c>
      <c r="T22" s="1724">
        <f t="shared" si="16"/>
        <v>0</v>
      </c>
      <c r="U22" s="1739">
        <f t="shared" si="16"/>
        <v>0</v>
      </c>
      <c r="V22" s="1724">
        <f t="shared" si="8"/>
        <v>0</v>
      </c>
      <c r="W22" s="1643">
        <f t="shared" si="9"/>
        <v>0</v>
      </c>
      <c r="X22" s="1724">
        <f t="shared" si="10"/>
        <v>0</v>
      </c>
      <c r="Y22" s="1645">
        <f t="shared" si="11"/>
        <v>0</v>
      </c>
      <c r="AA22" s="1722" t="s">
        <v>96</v>
      </c>
      <c r="AB22" s="1780">
        <f>SUM(AB7:AB21)</f>
        <v>0</v>
      </c>
      <c r="AC22" s="1716">
        <f>SUM(AC7:AC21)</f>
        <v>0</v>
      </c>
      <c r="AD22" s="1791">
        <f>SUM(AD7:AD21)</f>
        <v>249.68</v>
      </c>
      <c r="AE22" s="1717">
        <f>SUM(AE7:AE21)</f>
        <v>211.7</v>
      </c>
      <c r="AF22" s="1791">
        <f>SUM(AF7:AF21)</f>
        <v>0</v>
      </c>
      <c r="AG22" s="1755"/>
      <c r="AH22" s="1791">
        <f>AB22+AD22</f>
        <v>249.68</v>
      </c>
      <c r="AI22" s="1764">
        <f t="shared" si="5"/>
        <v>211.7</v>
      </c>
      <c r="AJ22" s="1791">
        <f>AD22+AF22</f>
        <v>249.68</v>
      </c>
      <c r="AK22" s="1582">
        <f t="shared" si="7"/>
        <v>211.7</v>
      </c>
      <c r="AM22" s="1613" t="s">
        <v>170</v>
      </c>
      <c r="AN22" s="1830">
        <f t="shared" si="0"/>
        <v>0</v>
      </c>
      <c r="AO22" s="1824">
        <f t="shared" si="1"/>
        <v>0</v>
      </c>
      <c r="AP22" s="1722" t="s">
        <v>96</v>
      </c>
      <c r="AQ22" s="1795">
        <f t="shared" si="2"/>
        <v>249.68</v>
      </c>
      <c r="AR22" s="1718">
        <f t="shared" si="3"/>
        <v>211.7</v>
      </c>
    </row>
    <row r="23" spans="2:48" ht="14.25" customHeight="1" thickBot="1">
      <c r="B23" s="266" t="s">
        <v>1004</v>
      </c>
      <c r="C23" s="241" t="s">
        <v>1003</v>
      </c>
      <c r="D23" s="239">
        <v>105</v>
      </c>
      <c r="E23" s="187" t="s">
        <v>94</v>
      </c>
      <c r="F23" s="200">
        <v>1.2</v>
      </c>
      <c r="G23" s="290">
        <v>1.2</v>
      </c>
      <c r="H23" s="61"/>
      <c r="J23" s="71"/>
      <c r="K23" s="61"/>
      <c r="M23" s="71"/>
      <c r="O23" s="1613" t="s">
        <v>150</v>
      </c>
      <c r="P23" s="1724"/>
      <c r="Q23" s="1587"/>
      <c r="R23" s="1724"/>
      <c r="S23" s="1645"/>
      <c r="T23" s="1724"/>
      <c r="U23" s="1601"/>
      <c r="V23" s="1724">
        <f t="shared" si="8"/>
        <v>0</v>
      </c>
      <c r="W23" s="1643">
        <f t="shared" si="9"/>
        <v>0</v>
      </c>
      <c r="X23" s="1724">
        <f t="shared" si="10"/>
        <v>0</v>
      </c>
      <c r="Y23" s="1645">
        <f t="shared" si="11"/>
        <v>0</v>
      </c>
      <c r="AA23" s="1713" t="s">
        <v>166</v>
      </c>
      <c r="AB23" s="1778"/>
      <c r="AC23" s="1714"/>
      <c r="AD23" s="1778">
        <f>F27+F28+F30+F31+F33+I35+I39+L28+L29+L30+L31</f>
        <v>249.67999999999998</v>
      </c>
      <c r="AE23" s="1675">
        <f>G27+G28+G30+G31+G33+J35+M28+M29+M30+M31+J39</f>
        <v>211.7</v>
      </c>
      <c r="AF23" s="1778"/>
      <c r="AG23" s="1756"/>
      <c r="AH23" s="1788">
        <f t="shared" si="4"/>
        <v>249.67999999999998</v>
      </c>
      <c r="AI23" s="1765"/>
      <c r="AJ23" s="1788">
        <f t="shared" si="6"/>
        <v>249.67999999999998</v>
      </c>
      <c r="AK23" s="1603"/>
      <c r="AM23" s="1613" t="s">
        <v>73</v>
      </c>
      <c r="AN23" s="1830">
        <f t="shared" si="0"/>
        <v>0</v>
      </c>
      <c r="AO23" s="1824">
        <f t="shared" si="1"/>
        <v>0</v>
      </c>
      <c r="AP23" s="1713" t="s">
        <v>166</v>
      </c>
      <c r="AQ23" s="1839">
        <f>AB23+AD23+AF23</f>
        <v>249.67999999999998</v>
      </c>
      <c r="AR23" s="1811"/>
    </row>
    <row r="24" spans="2:48" ht="15" customHeight="1" thickBot="1">
      <c r="B24" s="1138" t="s">
        <v>582</v>
      </c>
      <c r="D24" s="1140">
        <f>SUM(D17:D23)</f>
        <v>640</v>
      </c>
      <c r="E24" s="261" t="s">
        <v>223</v>
      </c>
      <c r="F24" s="68"/>
      <c r="G24" s="68"/>
      <c r="H24" s="757" t="s">
        <v>344</v>
      </c>
      <c r="I24" s="38"/>
      <c r="J24" s="50"/>
      <c r="K24" s="761" t="s">
        <v>330</v>
      </c>
      <c r="L24" s="472"/>
      <c r="M24" s="491"/>
      <c r="O24" s="1613" t="s">
        <v>75</v>
      </c>
      <c r="P24" s="1724"/>
      <c r="Q24" s="1587"/>
      <c r="R24" s="1724">
        <f>I26</f>
        <v>109.63</v>
      </c>
      <c r="S24" s="1645">
        <f>J26</f>
        <v>88.8</v>
      </c>
      <c r="T24" s="1724"/>
      <c r="U24" s="1601"/>
      <c r="V24" s="1724">
        <f t="shared" si="8"/>
        <v>109.63</v>
      </c>
      <c r="W24" s="1643">
        <f t="shared" si="9"/>
        <v>88.8</v>
      </c>
      <c r="X24" s="1724">
        <f t="shared" si="10"/>
        <v>109.63</v>
      </c>
      <c r="Y24" s="1645">
        <f t="shared" si="11"/>
        <v>88.8</v>
      </c>
      <c r="AA24" s="1872" t="s">
        <v>878</v>
      </c>
      <c r="AB24" s="1781"/>
      <c r="AC24" s="1641"/>
      <c r="AD24" s="444"/>
      <c r="AE24" s="1585"/>
      <c r="AF24" s="444"/>
      <c r="AG24" s="1757"/>
      <c r="AH24" s="1789"/>
      <c r="AI24" s="1766"/>
      <c r="AJ24" s="1789"/>
      <c r="AK24" s="1645"/>
      <c r="AM24" s="1613" t="s">
        <v>54</v>
      </c>
      <c r="AN24" s="1830">
        <f t="shared" si="0"/>
        <v>15.51</v>
      </c>
      <c r="AO24" s="1824">
        <f t="shared" si="1"/>
        <v>15</v>
      </c>
      <c r="AP24" s="1659" t="s">
        <v>878</v>
      </c>
      <c r="AQ24" s="1830"/>
      <c r="AR24" s="71"/>
    </row>
    <row r="25" spans="2:48" ht="14.25" customHeight="1" thickBot="1">
      <c r="B25" s="403"/>
      <c r="C25" s="162" t="s">
        <v>152</v>
      </c>
      <c r="D25" s="54"/>
      <c r="E25" s="475" t="s">
        <v>224</v>
      </c>
      <c r="F25" s="29"/>
      <c r="G25" s="29"/>
      <c r="H25" s="313" t="s">
        <v>118</v>
      </c>
      <c r="I25" s="97" t="s">
        <v>119</v>
      </c>
      <c r="J25" s="135" t="s">
        <v>120</v>
      </c>
      <c r="K25" s="823" t="s">
        <v>374</v>
      </c>
      <c r="L25" s="511"/>
      <c r="M25" s="512"/>
      <c r="O25" s="1613" t="s">
        <v>68</v>
      </c>
      <c r="P25" s="1724">
        <f>F19</f>
        <v>173.8</v>
      </c>
      <c r="Q25" s="1630">
        <f>G19</f>
        <v>173.8</v>
      </c>
      <c r="R25" s="1724">
        <f>I30+L39</f>
        <v>242</v>
      </c>
      <c r="S25" s="1647">
        <f>M39+J30</f>
        <v>242</v>
      </c>
      <c r="T25" s="1724"/>
      <c r="U25" s="1740"/>
      <c r="V25" s="1724">
        <f t="shared" si="8"/>
        <v>415.8</v>
      </c>
      <c r="W25" s="1643">
        <f t="shared" si="9"/>
        <v>415.8</v>
      </c>
      <c r="X25" s="1724">
        <f t="shared" si="10"/>
        <v>242</v>
      </c>
      <c r="Y25" s="1645">
        <f t="shared" si="11"/>
        <v>242</v>
      </c>
      <c r="AA25" s="1873" t="s">
        <v>879</v>
      </c>
      <c r="AB25" s="1777">
        <f>L17</f>
        <v>119.175</v>
      </c>
      <c r="AC25" s="1878">
        <f>M17</f>
        <v>105</v>
      </c>
      <c r="AD25" s="444"/>
      <c r="AE25" s="1882"/>
      <c r="AF25" s="1789"/>
      <c r="AG25" s="1886"/>
      <c r="AH25" s="1789">
        <f t="shared" si="4"/>
        <v>119.175</v>
      </c>
      <c r="AI25" s="1890">
        <f>AC25+AE25</f>
        <v>105</v>
      </c>
      <c r="AJ25" s="1789">
        <f t="shared" si="6"/>
        <v>0</v>
      </c>
      <c r="AK25" s="1893">
        <f>AE25+AG25</f>
        <v>0</v>
      </c>
      <c r="AM25" s="1613" t="s">
        <v>78</v>
      </c>
      <c r="AN25" s="1830">
        <f t="shared" si="0"/>
        <v>6.8</v>
      </c>
      <c r="AO25" s="1824">
        <f t="shared" si="1"/>
        <v>6.8</v>
      </c>
      <c r="AP25" s="1660" t="s">
        <v>879</v>
      </c>
      <c r="AQ25" s="1840">
        <f t="shared" ref="AQ25:AQ45" si="17">AB25+AD25+AF25</f>
        <v>119.175</v>
      </c>
      <c r="AR25" s="1667">
        <f t="shared" ref="AR25:AR45" si="18">AC25+AE25+AG25</f>
        <v>105</v>
      </c>
    </row>
    <row r="26" spans="2:48" ht="14.25" customHeight="1" thickBot="1">
      <c r="B26" s="1240" t="s">
        <v>625</v>
      </c>
      <c r="C26" s="283" t="s">
        <v>581</v>
      </c>
      <c r="D26" s="166">
        <v>60</v>
      </c>
      <c r="E26" s="263" t="s">
        <v>118</v>
      </c>
      <c r="F26" s="97" t="s">
        <v>119</v>
      </c>
      <c r="G26" s="135" t="s">
        <v>120</v>
      </c>
      <c r="H26" s="100" t="s">
        <v>75</v>
      </c>
      <c r="I26" s="177">
        <v>109.63</v>
      </c>
      <c r="J26" s="426">
        <v>88.8</v>
      </c>
      <c r="K26" s="313" t="s">
        <v>118</v>
      </c>
      <c r="L26" s="97" t="s">
        <v>119</v>
      </c>
      <c r="M26" s="135" t="s">
        <v>120</v>
      </c>
      <c r="O26" s="1613" t="s">
        <v>170</v>
      </c>
      <c r="P26" s="1724"/>
      <c r="Q26" s="1587"/>
      <c r="R26" s="1724"/>
      <c r="S26" s="1645"/>
      <c r="T26" s="1724"/>
      <c r="U26" s="1601"/>
      <c r="V26" s="1724">
        <f t="shared" si="8"/>
        <v>0</v>
      </c>
      <c r="W26" s="1643">
        <f t="shared" si="9"/>
        <v>0</v>
      </c>
      <c r="X26" s="1724">
        <f t="shared" si="10"/>
        <v>0</v>
      </c>
      <c r="Y26" s="1645">
        <f t="shared" si="11"/>
        <v>0</v>
      </c>
      <c r="AA26" s="1874" t="s">
        <v>880</v>
      </c>
      <c r="AB26" s="1782"/>
      <c r="AC26" s="1879"/>
      <c r="AD26" s="444"/>
      <c r="AE26" s="1883"/>
      <c r="AF26" s="1793">
        <f>L44</f>
        <v>160</v>
      </c>
      <c r="AG26" s="1887">
        <f>M44</f>
        <v>110</v>
      </c>
      <c r="AH26" s="1789">
        <f t="shared" si="4"/>
        <v>0</v>
      </c>
      <c r="AI26" s="1890">
        <f>AC26+AE26</f>
        <v>0</v>
      </c>
      <c r="AJ26" s="1789">
        <f t="shared" si="6"/>
        <v>160</v>
      </c>
      <c r="AK26" s="1893">
        <f>AE26+AG26</f>
        <v>110</v>
      </c>
      <c r="AM26" s="1613" t="s">
        <v>95</v>
      </c>
      <c r="AN26" s="1830">
        <f t="shared" si="0"/>
        <v>28.2</v>
      </c>
      <c r="AO26" s="1824">
        <f t="shared" si="1"/>
        <v>28.2</v>
      </c>
      <c r="AP26" s="1661" t="s">
        <v>880</v>
      </c>
      <c r="AQ26" s="1830">
        <f t="shared" si="17"/>
        <v>160</v>
      </c>
      <c r="AR26" s="1667">
        <f t="shared" si="18"/>
        <v>110</v>
      </c>
    </row>
    <row r="27" spans="2:48" ht="17.25" customHeight="1">
      <c r="B27" s="1241" t="s">
        <v>490</v>
      </c>
      <c r="C27" s="500" t="s">
        <v>223</v>
      </c>
      <c r="D27" s="429">
        <v>250</v>
      </c>
      <c r="E27" s="100" t="s">
        <v>86</v>
      </c>
      <c r="F27" s="123">
        <v>50</v>
      </c>
      <c r="G27" s="264">
        <v>40</v>
      </c>
      <c r="H27" s="192" t="s">
        <v>103</v>
      </c>
      <c r="I27" s="233">
        <v>7.2</v>
      </c>
      <c r="J27" s="275">
        <v>7.2</v>
      </c>
      <c r="K27" s="100" t="s">
        <v>76</v>
      </c>
      <c r="L27" s="123">
        <v>49.1</v>
      </c>
      <c r="M27" s="309">
        <v>49.1</v>
      </c>
      <c r="O27" s="1613" t="s">
        <v>73</v>
      </c>
      <c r="P27" s="1724"/>
      <c r="Q27" s="1587"/>
      <c r="R27" s="1724"/>
      <c r="S27" s="1645"/>
      <c r="T27" s="1724"/>
      <c r="U27" s="1601"/>
      <c r="V27" s="1724">
        <f t="shared" si="8"/>
        <v>0</v>
      </c>
      <c r="W27" s="1643">
        <f t="shared" si="9"/>
        <v>0</v>
      </c>
      <c r="X27" s="1724">
        <f t="shared" si="10"/>
        <v>0</v>
      </c>
      <c r="Y27" s="1645">
        <f t="shared" si="11"/>
        <v>0</v>
      </c>
      <c r="AA27" s="1875" t="s">
        <v>881</v>
      </c>
      <c r="AB27" s="1782"/>
      <c r="AC27" s="1879"/>
      <c r="AD27" s="444"/>
      <c r="AE27" s="1883"/>
      <c r="AF27" s="1789"/>
      <c r="AG27" s="1887"/>
      <c r="AH27" s="1789">
        <f t="shared" si="4"/>
        <v>0</v>
      </c>
      <c r="AI27" s="1890">
        <f>AC27+AE27</f>
        <v>0</v>
      </c>
      <c r="AJ27" s="1789">
        <f t="shared" si="6"/>
        <v>0</v>
      </c>
      <c r="AK27" s="1893">
        <f>AE27+AG27</f>
        <v>0</v>
      </c>
      <c r="AM27" s="1613" t="s">
        <v>103</v>
      </c>
      <c r="AN27" s="1830">
        <f t="shared" si="0"/>
        <v>7.2</v>
      </c>
      <c r="AO27" s="1824">
        <f t="shared" si="1"/>
        <v>7.2</v>
      </c>
      <c r="AP27" s="1662" t="s">
        <v>881</v>
      </c>
      <c r="AQ27" s="1830">
        <f t="shared" si="17"/>
        <v>0</v>
      </c>
      <c r="AR27" s="1667">
        <f t="shared" si="18"/>
        <v>0</v>
      </c>
    </row>
    <row r="28" spans="2:48" ht="14.25" customHeight="1" thickBot="1">
      <c r="B28" s="404" t="s">
        <v>131</v>
      </c>
      <c r="C28" s="1099" t="s">
        <v>224</v>
      </c>
      <c r="D28" s="71"/>
      <c r="E28" s="185" t="s">
        <v>117</v>
      </c>
      <c r="F28" s="233">
        <v>25</v>
      </c>
      <c r="G28" s="257">
        <v>20</v>
      </c>
      <c r="H28" s="4" t="s">
        <v>110</v>
      </c>
      <c r="I28" s="233"/>
      <c r="J28" s="275"/>
      <c r="K28" s="185" t="s">
        <v>79</v>
      </c>
      <c r="L28" s="233">
        <v>34.9</v>
      </c>
      <c r="M28" s="236">
        <v>28</v>
      </c>
      <c r="O28" s="1613" t="s">
        <v>54</v>
      </c>
      <c r="P28" s="1724"/>
      <c r="Q28" s="1587"/>
      <c r="R28" s="1724"/>
      <c r="S28" s="1645"/>
      <c r="T28" s="1724">
        <f>I44</f>
        <v>15.51</v>
      </c>
      <c r="U28" s="1601">
        <f>J44</f>
        <v>15</v>
      </c>
      <c r="V28" s="1724">
        <f t="shared" si="8"/>
        <v>0</v>
      </c>
      <c r="W28" s="1643">
        <f t="shared" si="9"/>
        <v>0</v>
      </c>
      <c r="X28" s="1724">
        <f t="shared" si="10"/>
        <v>15.51</v>
      </c>
      <c r="Y28" s="1645">
        <f t="shared" si="11"/>
        <v>15</v>
      </c>
      <c r="AA28" s="1876" t="s">
        <v>882</v>
      </c>
      <c r="AB28" s="1783"/>
      <c r="AC28" s="1880"/>
      <c r="AD28" s="1779"/>
      <c r="AE28" s="1884"/>
      <c r="AF28" s="1790"/>
      <c r="AG28" s="1888"/>
      <c r="AH28" s="1790">
        <f t="shared" si="4"/>
        <v>0</v>
      </c>
      <c r="AI28" s="1891"/>
      <c r="AJ28" s="1790">
        <f t="shared" si="6"/>
        <v>0</v>
      </c>
      <c r="AK28" s="1894"/>
      <c r="AM28" s="1613" t="s">
        <v>162</v>
      </c>
      <c r="AN28" s="1830">
        <f t="shared" si="0"/>
        <v>0</v>
      </c>
      <c r="AO28" s="1824">
        <f t="shared" si="1"/>
        <v>0</v>
      </c>
      <c r="AP28" s="1707" t="s">
        <v>882</v>
      </c>
      <c r="AQ28" s="1834">
        <f t="shared" si="17"/>
        <v>0</v>
      </c>
      <c r="AR28" s="1700">
        <f t="shared" si="18"/>
        <v>0</v>
      </c>
    </row>
    <row r="29" spans="2:48" ht="15" customHeight="1" thickBot="1">
      <c r="B29" s="1155" t="s">
        <v>626</v>
      </c>
      <c r="C29" s="283" t="s">
        <v>330</v>
      </c>
      <c r="D29" s="166">
        <v>200</v>
      </c>
      <c r="E29" s="185" t="s">
        <v>52</v>
      </c>
      <c r="F29" s="233">
        <v>26.75</v>
      </c>
      <c r="G29" s="257">
        <v>20</v>
      </c>
      <c r="H29" s="192" t="s">
        <v>108</v>
      </c>
      <c r="I29" s="276">
        <v>6.8</v>
      </c>
      <c r="J29" s="275">
        <v>6.8</v>
      </c>
      <c r="K29" s="249" t="s">
        <v>112</v>
      </c>
      <c r="L29" s="302">
        <v>12</v>
      </c>
      <c r="M29" s="323">
        <v>12</v>
      </c>
      <c r="O29" s="1613" t="s">
        <v>78</v>
      </c>
      <c r="P29" s="1724"/>
      <c r="Q29" s="1587"/>
      <c r="R29" s="1724">
        <f>I29</f>
        <v>6.8</v>
      </c>
      <c r="S29" s="1645">
        <f>J29</f>
        <v>6.8</v>
      </c>
      <c r="T29" s="1724"/>
      <c r="U29" s="1601"/>
      <c r="V29" s="1724">
        <f t="shared" si="8"/>
        <v>6.8</v>
      </c>
      <c r="W29" s="1643">
        <f t="shared" si="9"/>
        <v>6.8</v>
      </c>
      <c r="X29" s="1724">
        <f t="shared" si="10"/>
        <v>6.8</v>
      </c>
      <c r="Y29" s="1645">
        <f t="shared" si="11"/>
        <v>6.8</v>
      </c>
      <c r="AA29" s="1877" t="s">
        <v>883</v>
      </c>
      <c r="AB29" s="1896">
        <f>SUM(AB25:AB28)</f>
        <v>119.175</v>
      </c>
      <c r="AC29" s="1881">
        <f>AC25+AC26+AC27+AC28</f>
        <v>105</v>
      </c>
      <c r="AD29" s="1897"/>
      <c r="AE29" s="1885">
        <f>SUM(AE27:AE28)</f>
        <v>0</v>
      </c>
      <c r="AF29" s="1898">
        <f>SUM(AF25:AF28)</f>
        <v>160</v>
      </c>
      <c r="AG29" s="1889">
        <f>SUM(AG25:AG28)</f>
        <v>110</v>
      </c>
      <c r="AH29" s="1898">
        <f t="shared" si="4"/>
        <v>119.175</v>
      </c>
      <c r="AI29" s="1892">
        <f>AC29+AE29</f>
        <v>105</v>
      </c>
      <c r="AJ29" s="1898">
        <f t="shared" si="6"/>
        <v>160</v>
      </c>
      <c r="AK29" s="1895">
        <f>AE29+AG29</f>
        <v>110</v>
      </c>
      <c r="AM29" s="1613" t="s">
        <v>57</v>
      </c>
      <c r="AN29" s="1830">
        <f t="shared" si="0"/>
        <v>40.799999999999997</v>
      </c>
      <c r="AO29" s="1824">
        <f t="shared" si="1"/>
        <v>40.799999999999997</v>
      </c>
      <c r="AP29" s="1719" t="s">
        <v>883</v>
      </c>
      <c r="AQ29" s="1794">
        <f t="shared" si="17"/>
        <v>279.17500000000001</v>
      </c>
      <c r="AR29" s="1817">
        <f t="shared" si="18"/>
        <v>215</v>
      </c>
    </row>
    <row r="30" spans="2:48" ht="13.5" customHeight="1">
      <c r="B30" s="754"/>
      <c r="C30" s="167" t="s">
        <v>240</v>
      </c>
      <c r="D30" s="71"/>
      <c r="E30" s="185" t="s">
        <v>79</v>
      </c>
      <c r="F30" s="233">
        <v>12.5</v>
      </c>
      <c r="G30" s="257">
        <v>10</v>
      </c>
      <c r="H30" s="186" t="s">
        <v>68</v>
      </c>
      <c r="I30" s="233">
        <v>37</v>
      </c>
      <c r="J30" s="235">
        <v>37</v>
      </c>
      <c r="K30" s="185" t="s">
        <v>623</v>
      </c>
      <c r="L30" s="233">
        <v>12.5</v>
      </c>
      <c r="M30" s="236">
        <v>11.1</v>
      </c>
      <c r="O30" s="1613" t="s">
        <v>95</v>
      </c>
      <c r="P30" s="1724">
        <f>F21</f>
        <v>10</v>
      </c>
      <c r="Q30" s="1629">
        <f>G21</f>
        <v>10</v>
      </c>
      <c r="R30" s="1724">
        <f>F32+I36+L32</f>
        <v>18.2</v>
      </c>
      <c r="S30" s="1643">
        <f>G32+J36+M32</f>
        <v>18.2</v>
      </c>
      <c r="T30" s="1724"/>
      <c r="U30" s="1739"/>
      <c r="V30" s="1724">
        <f t="shared" si="8"/>
        <v>28.2</v>
      </c>
      <c r="W30" s="1643">
        <f t="shared" si="9"/>
        <v>28.2</v>
      </c>
      <c r="X30" s="1724">
        <f t="shared" si="10"/>
        <v>18.2</v>
      </c>
      <c r="Y30" s="1645">
        <f t="shared" si="11"/>
        <v>18.2</v>
      </c>
      <c r="AA30" s="1702" t="s">
        <v>896</v>
      </c>
      <c r="AB30" s="1784"/>
      <c r="AC30" s="1703"/>
      <c r="AD30" s="1788">
        <f>F39</f>
        <v>2.9449999999999998</v>
      </c>
      <c r="AE30" s="1704">
        <f>G39</f>
        <v>2.5</v>
      </c>
      <c r="AF30" s="1784"/>
      <c r="AG30" s="1703"/>
      <c r="AH30" s="1788">
        <f t="shared" ref="AH30:AH36" si="19">AB30+AD30</f>
        <v>2.9449999999999998</v>
      </c>
      <c r="AI30" s="1769">
        <f>AC30+AE30</f>
        <v>2.5</v>
      </c>
      <c r="AJ30" s="1788">
        <f t="shared" ref="AJ30:AJ36" si="20">AD30+AF30</f>
        <v>2.9449999999999998</v>
      </c>
      <c r="AK30" s="1806">
        <f>AE30+AG30</f>
        <v>2.5</v>
      </c>
      <c r="AM30" s="1613" t="s">
        <v>171</v>
      </c>
      <c r="AN30" s="1830">
        <f t="shared" si="0"/>
        <v>45</v>
      </c>
      <c r="AO30" s="1824">
        <f t="shared" si="1"/>
        <v>45</v>
      </c>
      <c r="AP30" s="1702" t="s">
        <v>389</v>
      </c>
      <c r="AQ30" s="1839">
        <f t="shared" si="17"/>
        <v>2.9449999999999998</v>
      </c>
      <c r="AR30" s="1708">
        <f t="shared" si="18"/>
        <v>2.5</v>
      </c>
    </row>
    <row r="31" spans="2:48" ht="12.75" customHeight="1" thickBot="1">
      <c r="B31" s="245" t="s">
        <v>343</v>
      </c>
      <c r="C31" s="256" t="s">
        <v>344</v>
      </c>
      <c r="D31" s="285" t="s">
        <v>605</v>
      </c>
      <c r="E31" s="185" t="s">
        <v>221</v>
      </c>
      <c r="F31" s="233">
        <v>12</v>
      </c>
      <c r="G31" s="257">
        <v>10</v>
      </c>
      <c r="H31" s="192" t="s">
        <v>92</v>
      </c>
      <c r="I31" s="233">
        <v>4.1399999999999997</v>
      </c>
      <c r="J31" s="275">
        <v>4.1399999999999997</v>
      </c>
      <c r="K31" s="185" t="s">
        <v>624</v>
      </c>
      <c r="L31" s="233">
        <v>1.2</v>
      </c>
      <c r="M31" s="236">
        <v>1.1000000000000001</v>
      </c>
      <c r="O31" s="1613" t="s">
        <v>103</v>
      </c>
      <c r="P31" s="1724"/>
      <c r="Q31" s="1587"/>
      <c r="R31" s="1724">
        <f>I27</f>
        <v>7.2</v>
      </c>
      <c r="S31" s="1645">
        <f>J27</f>
        <v>7.2</v>
      </c>
      <c r="T31" s="1724"/>
      <c r="U31" s="1601"/>
      <c r="V31" s="1724">
        <f t="shared" si="8"/>
        <v>7.2</v>
      </c>
      <c r="W31" s="1643">
        <f t="shared" si="9"/>
        <v>7.2</v>
      </c>
      <c r="X31" s="1724">
        <f t="shared" si="10"/>
        <v>7.2</v>
      </c>
      <c r="Y31" s="1645">
        <f t="shared" si="11"/>
        <v>7.2</v>
      </c>
      <c r="AA31" s="1692" t="s">
        <v>897</v>
      </c>
      <c r="AB31" s="1783"/>
      <c r="AC31" s="1693"/>
      <c r="AD31" s="1790"/>
      <c r="AE31" s="1694"/>
      <c r="AF31" s="1783"/>
      <c r="AG31" s="1693"/>
      <c r="AH31" s="1790">
        <f t="shared" si="19"/>
        <v>0</v>
      </c>
      <c r="AI31" s="1770">
        <f>AC31+AE31</f>
        <v>0</v>
      </c>
      <c r="AJ31" s="1790">
        <f t="shared" si="20"/>
        <v>0</v>
      </c>
      <c r="AK31" s="1807">
        <f>AE31+AG31</f>
        <v>0</v>
      </c>
      <c r="AM31" s="1613" t="s">
        <v>59</v>
      </c>
      <c r="AN31" s="1830">
        <f t="shared" si="0"/>
        <v>2</v>
      </c>
      <c r="AO31" s="1824">
        <f t="shared" si="1"/>
        <v>2</v>
      </c>
      <c r="AP31" s="1692" t="s">
        <v>188</v>
      </c>
      <c r="AQ31" s="1834">
        <f t="shared" si="17"/>
        <v>0</v>
      </c>
      <c r="AR31" s="1700">
        <f t="shared" si="18"/>
        <v>0</v>
      </c>
    </row>
    <row r="32" spans="2:48" ht="13.5" customHeight="1" thickBot="1">
      <c r="B32" s="156" t="s">
        <v>490</v>
      </c>
      <c r="C32" s="283" t="s">
        <v>154</v>
      </c>
      <c r="D32" s="166">
        <v>200</v>
      </c>
      <c r="E32" s="249" t="s">
        <v>95</v>
      </c>
      <c r="F32" s="251">
        <v>5</v>
      </c>
      <c r="G32" s="1077">
        <v>5</v>
      </c>
      <c r="H32" s="192" t="s">
        <v>94</v>
      </c>
      <c r="I32" s="251">
        <v>11.4</v>
      </c>
      <c r="J32" s="481">
        <v>11.4</v>
      </c>
      <c r="K32" s="249" t="s">
        <v>95</v>
      </c>
      <c r="L32" s="251">
        <v>12</v>
      </c>
      <c r="M32" s="255">
        <v>12</v>
      </c>
      <c r="O32" s="122" t="s">
        <v>898</v>
      </c>
      <c r="P32" s="1724"/>
      <c r="Q32" s="1629"/>
      <c r="R32" s="1724"/>
      <c r="S32" s="1643"/>
      <c r="T32" s="1724"/>
      <c r="U32" s="1739"/>
      <c r="V32" s="1724">
        <f t="shared" si="8"/>
        <v>0</v>
      </c>
      <c r="W32" s="1643">
        <f t="shared" si="9"/>
        <v>0</v>
      </c>
      <c r="X32" s="1724">
        <f t="shared" si="10"/>
        <v>0</v>
      </c>
      <c r="Y32" s="1645">
        <f t="shared" si="11"/>
        <v>0</v>
      </c>
      <c r="AA32" s="1721" t="s">
        <v>876</v>
      </c>
      <c r="AB32" s="1867">
        <f t="shared" ref="AB32:AG32" si="21">SUM(AB30:AB31)</f>
        <v>0</v>
      </c>
      <c r="AC32" s="1866">
        <f t="shared" si="21"/>
        <v>0</v>
      </c>
      <c r="AD32" s="1865">
        <f t="shared" si="21"/>
        <v>2.9449999999999998</v>
      </c>
      <c r="AE32" s="1698">
        <f t="shared" si="21"/>
        <v>2.5</v>
      </c>
      <c r="AF32" s="1867">
        <f t="shared" si="21"/>
        <v>0</v>
      </c>
      <c r="AG32" s="1866">
        <f t="shared" si="21"/>
        <v>0</v>
      </c>
      <c r="AH32" s="1796">
        <f t="shared" si="19"/>
        <v>2.9449999999999998</v>
      </c>
      <c r="AI32" s="1771">
        <f>AC32+AE32</f>
        <v>2.5</v>
      </c>
      <c r="AJ32" s="1796">
        <f t="shared" si="20"/>
        <v>2.9449999999999998</v>
      </c>
      <c r="AK32" s="1699">
        <f>AE32+AG32</f>
        <v>2.5</v>
      </c>
      <c r="AM32" s="1613" t="s">
        <v>169</v>
      </c>
      <c r="AN32" s="1830">
        <f t="shared" si="0"/>
        <v>2.7</v>
      </c>
      <c r="AO32" s="1824">
        <f t="shared" si="1"/>
        <v>2.7</v>
      </c>
      <c r="AP32" s="1721" t="s">
        <v>876</v>
      </c>
      <c r="AQ32" s="1796">
        <f t="shared" si="17"/>
        <v>2.9449999999999998</v>
      </c>
      <c r="AR32" s="1698">
        <f t="shared" si="18"/>
        <v>2.5</v>
      </c>
      <c r="AV32" s="136"/>
    </row>
    <row r="33" spans="2:48">
      <c r="B33" s="96" t="s">
        <v>1017</v>
      </c>
      <c r="C33" s="1099" t="s">
        <v>1016</v>
      </c>
      <c r="D33" s="71"/>
      <c r="E33" s="185" t="s">
        <v>112</v>
      </c>
      <c r="F33" s="276">
        <v>7.5</v>
      </c>
      <c r="G33" s="257">
        <v>7.5</v>
      </c>
      <c r="H33" s="306" t="s">
        <v>222</v>
      </c>
      <c r="I33" s="233">
        <v>1.1999999999999999E-3</v>
      </c>
      <c r="J33" s="275">
        <v>1.1999999999999999E-3</v>
      </c>
      <c r="K33" s="185" t="s">
        <v>61</v>
      </c>
      <c r="L33" s="272">
        <v>0.7</v>
      </c>
      <c r="M33" s="273">
        <v>0.7</v>
      </c>
      <c r="N33" s="496"/>
      <c r="O33" s="1613" t="s">
        <v>57</v>
      </c>
      <c r="P33" s="1724">
        <f>F20+I19</f>
        <v>12.7</v>
      </c>
      <c r="Q33" s="1630">
        <f>G20+J19</f>
        <v>12.7</v>
      </c>
      <c r="R33" s="1724">
        <f>F34+L40</f>
        <v>21.1</v>
      </c>
      <c r="S33" s="1648">
        <f>G34+M40</f>
        <v>21.1</v>
      </c>
      <c r="T33" s="1724">
        <f>F46</f>
        <v>7</v>
      </c>
      <c r="U33" s="1737">
        <f>G46</f>
        <v>7</v>
      </c>
      <c r="V33" s="1724">
        <f t="shared" si="8"/>
        <v>33.799999999999997</v>
      </c>
      <c r="W33" s="1643">
        <f t="shared" si="9"/>
        <v>33.799999999999997</v>
      </c>
      <c r="X33" s="1724">
        <f t="shared" si="10"/>
        <v>28.1</v>
      </c>
      <c r="Y33" s="1645">
        <f t="shared" si="11"/>
        <v>28.1</v>
      </c>
      <c r="AA33" s="1843" t="s">
        <v>387</v>
      </c>
      <c r="AB33" s="1900"/>
      <c r="AC33" s="1901"/>
      <c r="AD33" s="1899"/>
      <c r="AE33" s="1846"/>
      <c r="AF33" s="1900"/>
      <c r="AG33" s="1901"/>
      <c r="AH33" s="1788">
        <f t="shared" si="19"/>
        <v>0</v>
      </c>
      <c r="AI33" s="1852"/>
      <c r="AJ33" s="1788">
        <f t="shared" si="20"/>
        <v>0</v>
      </c>
      <c r="AK33" s="1856"/>
      <c r="AM33" s="1613" t="s">
        <v>168</v>
      </c>
      <c r="AN33" s="1830">
        <f t="shared" si="0"/>
        <v>0</v>
      </c>
      <c r="AO33" s="1824">
        <f t="shared" si="1"/>
        <v>0</v>
      </c>
      <c r="AP33" s="1843" t="s">
        <v>387</v>
      </c>
      <c r="AQ33" s="1839">
        <f t="shared" si="17"/>
        <v>0</v>
      </c>
      <c r="AR33" s="1708">
        <f t="shared" si="18"/>
        <v>0</v>
      </c>
      <c r="AV33" s="124"/>
    </row>
    <row r="34" spans="2:48" ht="12" customHeight="1" thickBot="1">
      <c r="B34" s="246" t="s">
        <v>10</v>
      </c>
      <c r="C34" s="241" t="s">
        <v>11</v>
      </c>
      <c r="D34" s="239">
        <v>70</v>
      </c>
      <c r="E34" s="185" t="s">
        <v>57</v>
      </c>
      <c r="F34" s="233">
        <v>1.6</v>
      </c>
      <c r="G34" s="257">
        <v>1.6</v>
      </c>
      <c r="H34" s="192" t="s">
        <v>61</v>
      </c>
      <c r="I34" s="272">
        <v>0.6</v>
      </c>
      <c r="J34" s="736">
        <v>0.6</v>
      </c>
      <c r="K34" s="195" t="s">
        <v>94</v>
      </c>
      <c r="L34" s="277">
        <v>294</v>
      </c>
      <c r="M34" s="1086">
        <v>294</v>
      </c>
      <c r="N34" s="476"/>
      <c r="O34" s="1613" t="s">
        <v>171</v>
      </c>
      <c r="P34" s="1724">
        <f>D19</f>
        <v>45</v>
      </c>
      <c r="Q34" s="1587">
        <f>D19</f>
        <v>45</v>
      </c>
      <c r="R34" s="1724"/>
      <c r="S34" s="1645"/>
      <c r="T34" s="1724"/>
      <c r="U34" s="1601"/>
      <c r="V34" s="1724">
        <f t="shared" si="8"/>
        <v>45</v>
      </c>
      <c r="W34" s="1643">
        <f t="shared" si="9"/>
        <v>45</v>
      </c>
      <c r="X34" s="1724">
        <f t="shared" si="10"/>
        <v>0</v>
      </c>
      <c r="Y34" s="1645">
        <f t="shared" si="11"/>
        <v>0</v>
      </c>
      <c r="AA34" s="1844" t="s">
        <v>121</v>
      </c>
      <c r="AB34" s="1902"/>
      <c r="AC34" s="1848"/>
      <c r="AD34" s="1869"/>
      <c r="AE34" s="1904"/>
      <c r="AF34" s="1902"/>
      <c r="AG34" s="1848"/>
      <c r="AH34" s="1789">
        <f t="shared" si="19"/>
        <v>0</v>
      </c>
      <c r="AI34" s="1853">
        <f t="shared" ref="AI34:AI45" si="22">AC34+AE34</f>
        <v>0</v>
      </c>
      <c r="AJ34" s="1789">
        <f t="shared" si="20"/>
        <v>0</v>
      </c>
      <c r="AK34" s="1857">
        <f t="shared" ref="AK34:AK45" si="23">AE34+AG34</f>
        <v>0</v>
      </c>
      <c r="AM34" s="1613" t="s">
        <v>89</v>
      </c>
      <c r="AN34" s="1830">
        <f t="shared" si="0"/>
        <v>0</v>
      </c>
      <c r="AO34" s="1824">
        <f t="shared" si="1"/>
        <v>0</v>
      </c>
      <c r="AP34" s="1844" t="s">
        <v>121</v>
      </c>
      <c r="AQ34" s="1830">
        <f t="shared" si="17"/>
        <v>0</v>
      </c>
      <c r="AR34" s="1667">
        <f t="shared" si="18"/>
        <v>0</v>
      </c>
      <c r="AV34" s="142"/>
    </row>
    <row r="35" spans="2:48" ht="15.75" customHeight="1" thickBot="1">
      <c r="B35" s="246" t="s">
        <v>10</v>
      </c>
      <c r="C35" s="241" t="s">
        <v>792</v>
      </c>
      <c r="D35" s="239">
        <v>40</v>
      </c>
      <c r="E35" s="185" t="s">
        <v>222</v>
      </c>
      <c r="F35" s="233">
        <v>0.01</v>
      </c>
      <c r="G35" s="257">
        <v>0.01</v>
      </c>
      <c r="H35" s="192" t="s">
        <v>221</v>
      </c>
      <c r="I35" s="251">
        <v>14.28</v>
      </c>
      <c r="J35" s="268">
        <v>12</v>
      </c>
      <c r="K35" s="906" t="s">
        <v>154</v>
      </c>
      <c r="L35" s="1496"/>
      <c r="M35" s="471"/>
      <c r="O35" s="1613" t="s">
        <v>59</v>
      </c>
      <c r="P35" s="1724">
        <f>I17</f>
        <v>1</v>
      </c>
      <c r="Q35" s="1587">
        <f>J17</f>
        <v>1</v>
      </c>
      <c r="R35" s="1724"/>
      <c r="S35" s="1645"/>
      <c r="T35" s="1724">
        <f>F44</f>
        <v>1</v>
      </c>
      <c r="U35" s="1601">
        <f>G44</f>
        <v>1</v>
      </c>
      <c r="V35" s="1724">
        <f t="shared" si="8"/>
        <v>1</v>
      </c>
      <c r="W35" s="1643">
        <f t="shared" si="9"/>
        <v>1</v>
      </c>
      <c r="X35" s="1724">
        <f t="shared" si="10"/>
        <v>1</v>
      </c>
      <c r="Y35" s="1645">
        <f t="shared" si="11"/>
        <v>1</v>
      </c>
      <c r="AA35" s="1845" t="s">
        <v>388</v>
      </c>
      <c r="AB35" s="1903"/>
      <c r="AC35" s="1868"/>
      <c r="AD35" s="1870"/>
      <c r="AE35" s="1905"/>
      <c r="AF35" s="1903"/>
      <c r="AG35" s="1868"/>
      <c r="AH35" s="1790">
        <f t="shared" si="19"/>
        <v>0</v>
      </c>
      <c r="AI35" s="1854">
        <f t="shared" si="22"/>
        <v>0</v>
      </c>
      <c r="AJ35" s="1790">
        <f t="shared" si="20"/>
        <v>0</v>
      </c>
      <c r="AK35" s="1858">
        <f t="shared" si="23"/>
        <v>0</v>
      </c>
      <c r="AM35" s="1613" t="s">
        <v>61</v>
      </c>
      <c r="AN35" s="1830">
        <f t="shared" si="0"/>
        <v>2.7</v>
      </c>
      <c r="AO35" s="1824">
        <f t="shared" si="1"/>
        <v>2.7</v>
      </c>
      <c r="AP35" s="1845" t="s">
        <v>388</v>
      </c>
      <c r="AQ35" s="1834">
        <f t="shared" si="17"/>
        <v>0</v>
      </c>
      <c r="AR35" s="1700">
        <f t="shared" si="18"/>
        <v>0</v>
      </c>
      <c r="AV35" s="142"/>
    </row>
    <row r="36" spans="2:48" ht="15.75" thickBot="1">
      <c r="B36" s="61"/>
      <c r="C36" s="999"/>
      <c r="D36" s="71"/>
      <c r="E36" s="185" t="s">
        <v>61</v>
      </c>
      <c r="F36" s="272">
        <v>1.1000000000000001</v>
      </c>
      <c r="G36" s="273">
        <v>1.1000000000000001</v>
      </c>
      <c r="H36" s="851" t="s">
        <v>95</v>
      </c>
      <c r="I36" s="251">
        <v>1.2</v>
      </c>
      <c r="J36" s="481">
        <v>1.2</v>
      </c>
      <c r="K36" s="1497" t="s">
        <v>1016</v>
      </c>
      <c r="L36" s="104"/>
      <c r="M36" s="760"/>
      <c r="N36" s="654"/>
      <c r="O36" s="1613" t="s">
        <v>169</v>
      </c>
      <c r="P36" s="1724"/>
      <c r="Q36" s="1587"/>
      <c r="R36" s="1724">
        <f>L38</f>
        <v>2.7</v>
      </c>
      <c r="S36" s="1645">
        <f>M38</f>
        <v>2.7</v>
      </c>
      <c r="T36" s="1724"/>
      <c r="U36" s="1601"/>
      <c r="V36" s="1724">
        <f t="shared" si="8"/>
        <v>2.7</v>
      </c>
      <c r="W36" s="1643">
        <f t="shared" si="9"/>
        <v>2.7</v>
      </c>
      <c r="X36" s="1724">
        <f t="shared" si="10"/>
        <v>2.7</v>
      </c>
      <c r="Y36" s="1645">
        <f t="shared" si="11"/>
        <v>2.7</v>
      </c>
      <c r="AA36" s="1850" t="s">
        <v>875</v>
      </c>
      <c r="AB36" s="1871">
        <f t="shared" ref="AB36:AG36" si="24">AB33+AB34+AB35</f>
        <v>0</v>
      </c>
      <c r="AC36" s="1851">
        <f t="shared" si="24"/>
        <v>0</v>
      </c>
      <c r="AD36" s="1871">
        <f t="shared" si="24"/>
        <v>0</v>
      </c>
      <c r="AE36" s="1851">
        <f t="shared" si="24"/>
        <v>0</v>
      </c>
      <c r="AF36" s="1871">
        <f t="shared" si="24"/>
        <v>0</v>
      </c>
      <c r="AG36" s="1851">
        <f t="shared" si="24"/>
        <v>0</v>
      </c>
      <c r="AH36" s="1791">
        <f t="shared" si="19"/>
        <v>0</v>
      </c>
      <c r="AI36" s="1855">
        <f t="shared" si="22"/>
        <v>0</v>
      </c>
      <c r="AJ36" s="1791">
        <f t="shared" si="20"/>
        <v>0</v>
      </c>
      <c r="AK36" s="1859">
        <f t="shared" si="23"/>
        <v>0</v>
      </c>
      <c r="AM36" s="1613" t="s">
        <v>143</v>
      </c>
      <c r="AN36" s="1830">
        <f t="shared" si="0"/>
        <v>0</v>
      </c>
      <c r="AO36" s="1824">
        <f t="shared" si="1"/>
        <v>0</v>
      </c>
      <c r="AP36" s="1850" t="s">
        <v>875</v>
      </c>
      <c r="AQ36" s="1860">
        <f t="shared" si="17"/>
        <v>0</v>
      </c>
      <c r="AR36" s="1849">
        <f t="shared" si="18"/>
        <v>0</v>
      </c>
      <c r="AV36" s="142"/>
    </row>
    <row r="37" spans="2:48" ht="11.25" customHeight="1" thickBot="1">
      <c r="B37" s="61"/>
      <c r="C37" s="999"/>
      <c r="D37" s="71"/>
      <c r="E37" s="1073" t="s">
        <v>975</v>
      </c>
      <c r="F37" s="251">
        <v>200</v>
      </c>
      <c r="G37" s="1078">
        <v>200</v>
      </c>
      <c r="H37" s="921" t="s">
        <v>581</v>
      </c>
      <c r="I37" s="312"/>
      <c r="J37" s="312"/>
      <c r="K37" s="313" t="s">
        <v>118</v>
      </c>
      <c r="L37" s="97" t="s">
        <v>119</v>
      </c>
      <c r="M37" s="135" t="s">
        <v>120</v>
      </c>
      <c r="O37" s="1613" t="s">
        <v>168</v>
      </c>
      <c r="P37" s="1724"/>
      <c r="Q37" s="1587"/>
      <c r="R37" s="1724"/>
      <c r="S37" s="1645"/>
      <c r="T37" s="1724"/>
      <c r="U37" s="1601"/>
      <c r="V37" s="1724">
        <f t="shared" si="8"/>
        <v>0</v>
      </c>
      <c r="W37" s="1643">
        <f t="shared" si="9"/>
        <v>0</v>
      </c>
      <c r="X37" s="1724">
        <f t="shared" si="10"/>
        <v>0</v>
      </c>
      <c r="Y37" s="1645">
        <f t="shared" si="11"/>
        <v>0</v>
      </c>
      <c r="AA37" s="1695" t="s">
        <v>904</v>
      </c>
      <c r="AB37" s="1784"/>
      <c r="AC37" s="1696"/>
      <c r="AD37" s="1784"/>
      <c r="AE37" s="1697"/>
      <c r="AF37" s="1784"/>
      <c r="AG37" s="1758"/>
      <c r="AH37" s="1788">
        <f t="shared" si="4"/>
        <v>0</v>
      </c>
      <c r="AI37" s="1772">
        <f t="shared" si="22"/>
        <v>0</v>
      </c>
      <c r="AJ37" s="1788">
        <f t="shared" si="6"/>
        <v>0</v>
      </c>
      <c r="AK37" s="1603">
        <f t="shared" si="23"/>
        <v>0</v>
      </c>
      <c r="AM37" s="1617" t="s">
        <v>229</v>
      </c>
      <c r="AN37" s="1830">
        <f t="shared" si="0"/>
        <v>1.1112000000000002</v>
      </c>
      <c r="AO37" s="1824">
        <f t="shared" si="1"/>
        <v>1.1112000000000002</v>
      </c>
      <c r="AP37" s="1695" t="s">
        <v>904</v>
      </c>
      <c r="AQ37" s="1839">
        <f t="shared" si="17"/>
        <v>0</v>
      </c>
      <c r="AR37" s="1708">
        <f t="shared" si="18"/>
        <v>0</v>
      </c>
      <c r="AV37" s="142"/>
    </row>
    <row r="38" spans="2:48" ht="12.75" customHeight="1" thickBot="1">
      <c r="B38" s="61"/>
      <c r="C38" s="999"/>
      <c r="D38" s="71"/>
      <c r="E38" s="474" t="s">
        <v>884</v>
      </c>
      <c r="F38" s="251"/>
      <c r="G38" s="481">
        <v>1.1000000000000001</v>
      </c>
      <c r="H38" s="263" t="s">
        <v>118</v>
      </c>
      <c r="I38" s="97" t="s">
        <v>119</v>
      </c>
      <c r="J38" s="292" t="s">
        <v>120</v>
      </c>
      <c r="K38" s="98" t="s">
        <v>434</v>
      </c>
      <c r="L38" s="128">
        <v>2.7</v>
      </c>
      <c r="M38" s="132">
        <v>2.7</v>
      </c>
      <c r="O38" s="1613" t="s">
        <v>89</v>
      </c>
      <c r="P38" s="1724"/>
      <c r="Q38" s="1587"/>
      <c r="R38" s="1724"/>
      <c r="S38" s="1645"/>
      <c r="T38" s="1724"/>
      <c r="U38" s="1601"/>
      <c r="V38" s="1724">
        <f t="shared" si="8"/>
        <v>0</v>
      </c>
      <c r="W38" s="1643">
        <f t="shared" si="9"/>
        <v>0</v>
      </c>
      <c r="X38" s="1724">
        <f t="shared" si="10"/>
        <v>0</v>
      </c>
      <c r="Y38" s="1645">
        <f t="shared" si="11"/>
        <v>0</v>
      </c>
      <c r="AA38" s="1663" t="s">
        <v>81</v>
      </c>
      <c r="AB38" s="1782"/>
      <c r="AC38" s="1599"/>
      <c r="AD38" s="1782"/>
      <c r="AE38" s="1670"/>
      <c r="AF38" s="1782"/>
      <c r="AG38" s="1682"/>
      <c r="AH38" s="1789">
        <f t="shared" si="4"/>
        <v>0</v>
      </c>
      <c r="AI38" s="1773">
        <f t="shared" si="22"/>
        <v>0</v>
      </c>
      <c r="AJ38" s="1789">
        <f t="shared" si="6"/>
        <v>0</v>
      </c>
      <c r="AK38" s="1645">
        <f t="shared" si="23"/>
        <v>0</v>
      </c>
      <c r="AM38" s="1618" t="s">
        <v>222</v>
      </c>
      <c r="AN38" s="1830">
        <f t="shared" si="0"/>
        <v>1.12E-2</v>
      </c>
      <c r="AO38" s="1824">
        <f t="shared" si="1"/>
        <v>1.12E-2</v>
      </c>
      <c r="AP38" s="1663" t="s">
        <v>81</v>
      </c>
      <c r="AQ38" s="1830">
        <f t="shared" si="17"/>
        <v>0</v>
      </c>
      <c r="AR38" s="1667">
        <f t="shared" si="18"/>
        <v>0</v>
      </c>
      <c r="AV38" s="142"/>
    </row>
    <row r="39" spans="2:48" ht="12.75" customHeight="1">
      <c r="B39" s="61"/>
      <c r="C39" s="999"/>
      <c r="D39" s="71"/>
      <c r="E39" s="185" t="s">
        <v>99</v>
      </c>
      <c r="F39" s="233">
        <v>2.9449999999999998</v>
      </c>
      <c r="G39" s="236">
        <v>2.5</v>
      </c>
      <c r="H39" s="1181" t="s">
        <v>492</v>
      </c>
      <c r="I39" s="123">
        <v>67.8</v>
      </c>
      <c r="J39" s="132">
        <v>60</v>
      </c>
      <c r="K39" s="340" t="s">
        <v>68</v>
      </c>
      <c r="L39" s="233">
        <v>205</v>
      </c>
      <c r="M39" s="235">
        <v>205</v>
      </c>
      <c r="O39" s="1613" t="s">
        <v>61</v>
      </c>
      <c r="P39" s="1724">
        <f>F22</f>
        <v>0.3</v>
      </c>
      <c r="Q39" s="1587">
        <f>G22</f>
        <v>0.3</v>
      </c>
      <c r="R39" s="1724">
        <f>F36+I34+L33</f>
        <v>2.4000000000000004</v>
      </c>
      <c r="S39" s="1645">
        <f>G36+J34+M33</f>
        <v>2.4000000000000004</v>
      </c>
      <c r="T39" s="1724"/>
      <c r="U39" s="1601"/>
      <c r="V39" s="1724">
        <f t="shared" si="8"/>
        <v>2.7</v>
      </c>
      <c r="W39" s="1643">
        <f t="shared" si="9"/>
        <v>2.7</v>
      </c>
      <c r="X39" s="1724">
        <f t="shared" si="10"/>
        <v>2.4000000000000004</v>
      </c>
      <c r="Y39" s="1645">
        <f t="shared" si="11"/>
        <v>2.4000000000000004</v>
      </c>
      <c r="AA39" s="1663" t="s">
        <v>83</v>
      </c>
      <c r="AB39" s="1785">
        <f>F18</f>
        <v>31</v>
      </c>
      <c r="AC39" s="1639">
        <f>G18</f>
        <v>31</v>
      </c>
      <c r="AD39" s="1785"/>
      <c r="AE39" s="1671"/>
      <c r="AF39" s="1785"/>
      <c r="AG39" s="1759"/>
      <c r="AH39" s="1789">
        <f t="shared" si="4"/>
        <v>31</v>
      </c>
      <c r="AI39" s="1773">
        <f t="shared" si="22"/>
        <v>31</v>
      </c>
      <c r="AJ39" s="1789">
        <f t="shared" si="6"/>
        <v>0</v>
      </c>
      <c r="AK39" s="1645">
        <f t="shared" si="23"/>
        <v>0</v>
      </c>
      <c r="AM39" s="1619" t="s">
        <v>679</v>
      </c>
      <c r="AN39" s="1830">
        <f t="shared" si="0"/>
        <v>1.1000000000000001</v>
      </c>
      <c r="AO39" s="1824">
        <f t="shared" si="1"/>
        <v>1.1000000000000001</v>
      </c>
      <c r="AP39" s="1663" t="s">
        <v>83</v>
      </c>
      <c r="AQ39" s="1830">
        <f t="shared" si="17"/>
        <v>31</v>
      </c>
      <c r="AR39" s="1667">
        <f t="shared" si="18"/>
        <v>31</v>
      </c>
    </row>
    <row r="40" spans="2:48">
      <c r="B40" s="61"/>
      <c r="C40" s="999"/>
      <c r="D40" s="71"/>
      <c r="E40" s="61"/>
      <c r="G40" s="71"/>
      <c r="H40" s="61"/>
      <c r="J40" s="71"/>
      <c r="K40" s="192" t="s">
        <v>57</v>
      </c>
      <c r="L40" s="233">
        <v>19.5</v>
      </c>
      <c r="M40" s="247">
        <v>19.5</v>
      </c>
      <c r="O40" s="1613" t="s">
        <v>143</v>
      </c>
      <c r="P40" s="1724"/>
      <c r="Q40" s="1587"/>
      <c r="R40" s="1724"/>
      <c r="S40" s="1645"/>
      <c r="T40" s="1724"/>
      <c r="U40" s="1601"/>
      <c r="V40" s="1724">
        <f t="shared" si="8"/>
        <v>0</v>
      </c>
      <c r="W40" s="1643">
        <f t="shared" si="9"/>
        <v>0</v>
      </c>
      <c r="X40" s="1724">
        <f t="shared" si="10"/>
        <v>0</v>
      </c>
      <c r="Y40" s="1645">
        <f t="shared" si="11"/>
        <v>0</v>
      </c>
      <c r="AA40" s="1663" t="s">
        <v>84</v>
      </c>
      <c r="AB40" s="1782"/>
      <c r="AC40" s="1639"/>
      <c r="AD40" s="1782"/>
      <c r="AE40" s="1671"/>
      <c r="AF40" s="1782"/>
      <c r="AG40" s="1759"/>
      <c r="AH40" s="1789">
        <f t="shared" si="4"/>
        <v>0</v>
      </c>
      <c r="AI40" s="1773">
        <f t="shared" si="22"/>
        <v>0</v>
      </c>
      <c r="AJ40" s="1789">
        <f t="shared" si="6"/>
        <v>0</v>
      </c>
      <c r="AK40" s="1645">
        <f t="shared" si="23"/>
        <v>0</v>
      </c>
      <c r="AM40" s="1620" t="s">
        <v>167</v>
      </c>
      <c r="AN40" s="1834">
        <f t="shared" si="0"/>
        <v>0</v>
      </c>
      <c r="AO40" s="1835">
        <f t="shared" si="1"/>
        <v>0</v>
      </c>
      <c r="AP40" s="1663" t="s">
        <v>84</v>
      </c>
      <c r="AQ40" s="1830">
        <f t="shared" si="17"/>
        <v>0</v>
      </c>
      <c r="AR40" s="1667">
        <f t="shared" si="18"/>
        <v>0</v>
      </c>
      <c r="AV40" s="136"/>
    </row>
    <row r="41" spans="2:48" ht="15.75" customHeight="1" thickBot="1">
      <c r="B41" s="1139" t="s">
        <v>583</v>
      </c>
      <c r="C41" s="1136"/>
      <c r="D41" s="1200">
        <f>D26+D27+D29+D32+D34+D35+60+60</f>
        <v>940</v>
      </c>
      <c r="E41" s="57"/>
      <c r="F41" s="29"/>
      <c r="G41" s="74"/>
      <c r="H41" s="57"/>
      <c r="I41" s="29"/>
      <c r="J41" s="74"/>
      <c r="K41" s="192" t="s">
        <v>94</v>
      </c>
      <c r="L41" s="903">
        <v>5</v>
      </c>
      <c r="M41" s="904">
        <v>5</v>
      </c>
      <c r="O41" s="1617" t="s">
        <v>229</v>
      </c>
      <c r="P41" s="1747">
        <f t="shared" ref="P41:U41" si="25">P42+P43+P44</f>
        <v>0</v>
      </c>
      <c r="Q41" s="1571">
        <f t="shared" si="25"/>
        <v>0</v>
      </c>
      <c r="R41" s="1747">
        <f t="shared" si="25"/>
        <v>1.1112000000000002</v>
      </c>
      <c r="S41" s="1679">
        <f t="shared" si="25"/>
        <v>1.1112000000000002</v>
      </c>
      <c r="T41" s="1748">
        <f t="shared" si="25"/>
        <v>0</v>
      </c>
      <c r="U41" s="1576">
        <f t="shared" si="25"/>
        <v>0</v>
      </c>
      <c r="V41" s="1724">
        <f t="shared" si="8"/>
        <v>1.1112000000000002</v>
      </c>
      <c r="W41" s="1643">
        <f t="shared" si="9"/>
        <v>1.1112000000000002</v>
      </c>
      <c r="X41" s="1724">
        <f t="shared" si="10"/>
        <v>1.1112000000000002</v>
      </c>
      <c r="Y41" s="1645">
        <f t="shared" si="11"/>
        <v>1.1112000000000002</v>
      </c>
      <c r="AA41" s="1663" t="s">
        <v>85</v>
      </c>
      <c r="AB41" s="1782"/>
      <c r="AC41" s="1599"/>
      <c r="AD41" s="1782"/>
      <c r="AE41" s="1670"/>
      <c r="AF41" s="1782"/>
      <c r="AG41" s="1682"/>
      <c r="AH41" s="1789">
        <f t="shared" si="4"/>
        <v>0</v>
      </c>
      <c r="AI41" s="1773">
        <f t="shared" si="22"/>
        <v>0</v>
      </c>
      <c r="AJ41" s="1789">
        <f t="shared" si="6"/>
        <v>0</v>
      </c>
      <c r="AK41" s="1645">
        <f t="shared" si="23"/>
        <v>0</v>
      </c>
      <c r="AM41" s="563" t="s">
        <v>116</v>
      </c>
      <c r="AN41" s="1831">
        <f t="shared" si="0"/>
        <v>0</v>
      </c>
      <c r="AO41" s="1836">
        <f t="shared" si="1"/>
        <v>0</v>
      </c>
      <c r="AP41" s="1663" t="s">
        <v>85</v>
      </c>
      <c r="AQ41" s="1830">
        <f t="shared" si="17"/>
        <v>0</v>
      </c>
      <c r="AR41" s="1667">
        <f t="shared" si="18"/>
        <v>0</v>
      </c>
      <c r="AV41" s="142"/>
    </row>
    <row r="42" spans="2:48" ht="13.5" customHeight="1" thickBot="1">
      <c r="B42" s="403"/>
      <c r="C42" s="162" t="s">
        <v>324</v>
      </c>
      <c r="D42" s="752"/>
      <c r="E42" s="321" t="s">
        <v>147</v>
      </c>
      <c r="F42" s="38"/>
      <c r="G42" s="50"/>
      <c r="H42" s="1185" t="s">
        <v>964</v>
      </c>
      <c r="I42" s="68"/>
      <c r="J42" s="54"/>
      <c r="K42" s="473" t="s">
        <v>1007</v>
      </c>
      <c r="L42" s="38"/>
      <c r="M42" s="50"/>
      <c r="O42" s="1618" t="s">
        <v>222</v>
      </c>
      <c r="P42" s="1728"/>
      <c r="Q42" s="1631"/>
      <c r="R42" s="1728">
        <f>F35+I33</f>
        <v>1.12E-2</v>
      </c>
      <c r="S42" s="1649">
        <f>G35+J33</f>
        <v>1.12E-2</v>
      </c>
      <c r="T42" s="1732"/>
      <c r="U42" s="1631"/>
      <c r="V42" s="1775">
        <f>P42+R42</f>
        <v>1.12E-2</v>
      </c>
      <c r="W42" s="1649">
        <f t="shared" si="9"/>
        <v>1.12E-2</v>
      </c>
      <c r="X42" s="1725">
        <f t="shared" si="10"/>
        <v>1.12E-2</v>
      </c>
      <c r="Y42" s="1649">
        <f t="shared" si="11"/>
        <v>1.12E-2</v>
      </c>
      <c r="AA42" s="1663" t="s">
        <v>87</v>
      </c>
      <c r="AB42" s="1782"/>
      <c r="AC42" s="1640"/>
      <c r="AD42" s="1782"/>
      <c r="AE42" s="1670"/>
      <c r="AF42" s="1782"/>
      <c r="AG42" s="1682"/>
      <c r="AH42" s="1789">
        <f t="shared" si="4"/>
        <v>0</v>
      </c>
      <c r="AI42" s="1773">
        <f t="shared" si="22"/>
        <v>0</v>
      </c>
      <c r="AJ42" s="1789">
        <f t="shared" si="6"/>
        <v>0</v>
      </c>
      <c r="AK42" s="1645">
        <f t="shared" si="23"/>
        <v>0</v>
      </c>
      <c r="AN42" s="142"/>
      <c r="AO42" s="12"/>
      <c r="AP42" s="1663" t="s">
        <v>87</v>
      </c>
      <c r="AQ42" s="1830">
        <f t="shared" si="17"/>
        <v>0</v>
      </c>
      <c r="AR42" s="1667">
        <f t="shared" si="18"/>
        <v>0</v>
      </c>
      <c r="AV42" s="142"/>
    </row>
    <row r="43" spans="2:48" ht="14.25" customHeight="1" thickBot="1">
      <c r="B43" s="246" t="s">
        <v>622</v>
      </c>
      <c r="C43" s="241" t="s">
        <v>104</v>
      </c>
      <c r="D43" s="285">
        <v>200</v>
      </c>
      <c r="E43" s="339" t="s">
        <v>118</v>
      </c>
      <c r="F43" s="102" t="s">
        <v>119</v>
      </c>
      <c r="G43" s="133" t="s">
        <v>120</v>
      </c>
      <c r="H43" s="313" t="s">
        <v>118</v>
      </c>
      <c r="I43" s="97" t="s">
        <v>119</v>
      </c>
      <c r="J43" s="135" t="s">
        <v>120</v>
      </c>
      <c r="K43" s="263" t="s">
        <v>118</v>
      </c>
      <c r="L43" s="97" t="s">
        <v>119</v>
      </c>
      <c r="M43" s="135" t="s">
        <v>120</v>
      </c>
      <c r="O43" s="1619" t="s">
        <v>679</v>
      </c>
      <c r="P43" s="1729"/>
      <c r="Q43" s="1632"/>
      <c r="R43" s="1729">
        <f>G38</f>
        <v>1.1000000000000001</v>
      </c>
      <c r="S43" s="1650">
        <f>G38</f>
        <v>1.1000000000000001</v>
      </c>
      <c r="T43" s="1733"/>
      <c r="U43" s="1632"/>
      <c r="V43" s="1775">
        <f t="shared" ref="V43:V44" si="26">P43+R43</f>
        <v>1.1000000000000001</v>
      </c>
      <c r="W43" s="1649">
        <f t="shared" ref="W43:W45" si="27">Q43+S43</f>
        <v>1.1000000000000001</v>
      </c>
      <c r="X43" s="1725">
        <f t="shared" si="10"/>
        <v>1.1000000000000001</v>
      </c>
      <c r="Y43" s="1649">
        <f t="shared" ref="Y43:Y45" si="28">S43+U43</f>
        <v>1.1000000000000001</v>
      </c>
      <c r="AA43" s="1663" t="s">
        <v>88</v>
      </c>
      <c r="AB43" s="1782"/>
      <c r="AC43" s="1599"/>
      <c r="AD43" s="1782"/>
      <c r="AE43" s="1670"/>
      <c r="AF43" s="1782"/>
      <c r="AG43" s="1682"/>
      <c r="AH43" s="1789">
        <f t="shared" si="4"/>
        <v>0</v>
      </c>
      <c r="AI43" s="1773">
        <f t="shared" si="22"/>
        <v>0</v>
      </c>
      <c r="AJ43" s="1789">
        <f t="shared" si="6"/>
        <v>0</v>
      </c>
      <c r="AK43" s="1645">
        <f t="shared" si="23"/>
        <v>0</v>
      </c>
      <c r="AN43" s="142"/>
      <c r="AO43" s="155"/>
      <c r="AP43" s="1663" t="s">
        <v>88</v>
      </c>
      <c r="AQ43" s="1830">
        <f t="shared" si="17"/>
        <v>0</v>
      </c>
      <c r="AR43" s="1667">
        <f t="shared" si="18"/>
        <v>0</v>
      </c>
      <c r="AV43" s="142"/>
    </row>
    <row r="44" spans="2:48" ht="15" customHeight="1" thickBot="1">
      <c r="B44" s="1184" t="s">
        <v>965</v>
      </c>
      <c r="C44" s="241" t="s">
        <v>964</v>
      </c>
      <c r="D44" s="2376" t="s">
        <v>966</v>
      </c>
      <c r="E44" s="100" t="s">
        <v>107</v>
      </c>
      <c r="F44" s="123">
        <v>1</v>
      </c>
      <c r="G44" s="131">
        <v>1</v>
      </c>
      <c r="H44" s="98" t="s">
        <v>178</v>
      </c>
      <c r="I44" s="326">
        <v>15.51</v>
      </c>
      <c r="J44" s="132">
        <v>15</v>
      </c>
      <c r="K44" s="259" t="s">
        <v>228</v>
      </c>
      <c r="L44" s="2374">
        <v>160</v>
      </c>
      <c r="M44" s="131">
        <v>110</v>
      </c>
      <c r="O44" s="1620" t="s">
        <v>167</v>
      </c>
      <c r="P44" s="1730"/>
      <c r="Q44" s="1633"/>
      <c r="R44" s="1730"/>
      <c r="S44" s="1651"/>
      <c r="T44" s="1734"/>
      <c r="U44" s="1633"/>
      <c r="V44" s="1775">
        <f t="shared" si="26"/>
        <v>0</v>
      </c>
      <c r="W44" s="1649">
        <f t="shared" si="27"/>
        <v>0</v>
      </c>
      <c r="X44" s="1725">
        <f t="shared" si="10"/>
        <v>0</v>
      </c>
      <c r="Y44" s="1649">
        <f t="shared" si="28"/>
        <v>0</v>
      </c>
      <c r="AA44" s="1685" t="s">
        <v>90</v>
      </c>
      <c r="AB44" s="1783"/>
      <c r="AC44" s="1686"/>
      <c r="AD44" s="1783"/>
      <c r="AE44" s="1687"/>
      <c r="AF44" s="1783"/>
      <c r="AG44" s="1760"/>
      <c r="AH44" s="1790">
        <f t="shared" si="4"/>
        <v>0</v>
      </c>
      <c r="AI44" s="1774">
        <f t="shared" si="22"/>
        <v>0</v>
      </c>
      <c r="AJ44" s="1790">
        <f t="shared" si="6"/>
        <v>0</v>
      </c>
      <c r="AK44" s="1805">
        <f t="shared" si="23"/>
        <v>0</v>
      </c>
      <c r="AN44" s="140"/>
      <c r="AO44" s="4"/>
      <c r="AP44" s="1685" t="s">
        <v>90</v>
      </c>
      <c r="AQ44" s="1834">
        <f t="shared" si="17"/>
        <v>0</v>
      </c>
      <c r="AR44" s="1700">
        <f t="shared" si="18"/>
        <v>0</v>
      </c>
      <c r="AV44" s="142"/>
    </row>
    <row r="45" spans="2:48" ht="14.25" customHeight="1" thickBot="1">
      <c r="B45" s="266" t="s">
        <v>1004</v>
      </c>
      <c r="C45" s="241" t="s">
        <v>1006</v>
      </c>
      <c r="D45" s="239">
        <v>110</v>
      </c>
      <c r="E45" s="249" t="s">
        <v>94</v>
      </c>
      <c r="F45" s="251">
        <v>66</v>
      </c>
      <c r="G45" s="255">
        <v>66</v>
      </c>
      <c r="H45" s="241" t="s">
        <v>11</v>
      </c>
      <c r="I45" s="233">
        <v>35</v>
      </c>
      <c r="J45" s="2375">
        <v>35</v>
      </c>
      <c r="K45" s="513"/>
      <c r="L45" s="184"/>
      <c r="M45" s="165"/>
      <c r="O45" s="563" t="s">
        <v>116</v>
      </c>
      <c r="P45" s="1610"/>
      <c r="Q45" s="1634"/>
      <c r="R45" s="1610"/>
      <c r="S45" s="1652"/>
      <c r="T45" s="1735"/>
      <c r="U45" s="1741"/>
      <c r="V45" s="1837">
        <f>P45+R45</f>
        <v>0</v>
      </c>
      <c r="W45" s="1838">
        <f t="shared" si="27"/>
        <v>0</v>
      </c>
      <c r="X45" s="1837">
        <f t="shared" si="10"/>
        <v>0</v>
      </c>
      <c r="Y45" s="1838">
        <f t="shared" si="28"/>
        <v>0</v>
      </c>
      <c r="AA45" s="1688" t="s">
        <v>877</v>
      </c>
      <c r="AB45" s="1786">
        <f t="shared" ref="AB45:AG45" si="29">SUM(AB37:AB44)</f>
        <v>31</v>
      </c>
      <c r="AC45" s="1689">
        <f t="shared" si="29"/>
        <v>31</v>
      </c>
      <c r="AD45" s="1906">
        <f t="shared" si="29"/>
        <v>0</v>
      </c>
      <c r="AE45" s="1690">
        <f t="shared" si="29"/>
        <v>0</v>
      </c>
      <c r="AF45" s="1786">
        <f t="shared" si="29"/>
        <v>0</v>
      </c>
      <c r="AG45" s="1761">
        <f t="shared" si="29"/>
        <v>0</v>
      </c>
      <c r="AH45" s="1797">
        <f>AB45+AD45</f>
        <v>31</v>
      </c>
      <c r="AI45" s="1816">
        <f t="shared" si="22"/>
        <v>31</v>
      </c>
      <c r="AJ45" s="1797">
        <f t="shared" si="6"/>
        <v>0</v>
      </c>
      <c r="AK45" s="1691">
        <f t="shared" si="23"/>
        <v>0</v>
      </c>
      <c r="AN45" s="142"/>
      <c r="AO45" s="4"/>
      <c r="AP45" s="1688" t="s">
        <v>877</v>
      </c>
      <c r="AQ45" s="1797">
        <f t="shared" si="17"/>
        <v>31</v>
      </c>
      <c r="AR45" s="1690">
        <f t="shared" si="18"/>
        <v>31</v>
      </c>
    </row>
    <row r="46" spans="2:48" ht="13.5" customHeight="1">
      <c r="B46" s="1522"/>
      <c r="C46" s="241"/>
      <c r="D46" s="239"/>
      <c r="E46" s="186" t="s">
        <v>57</v>
      </c>
      <c r="F46" s="254">
        <v>7</v>
      </c>
      <c r="G46" s="293">
        <v>7</v>
      </c>
      <c r="K46" s="61"/>
      <c r="M46" s="71"/>
      <c r="AA46" s="4"/>
      <c r="AB46" s="62"/>
      <c r="AD46" s="62"/>
      <c r="AE46" s="1570"/>
      <c r="AF46" s="786"/>
      <c r="AG46" s="1570"/>
      <c r="AH46" s="62"/>
      <c r="AI46" s="282"/>
      <c r="AJ46" s="62"/>
      <c r="AK46" s="1570"/>
      <c r="AM46" s="142"/>
      <c r="AN46" s="4"/>
      <c r="AO46" s="116"/>
      <c r="AP46" s="140"/>
      <c r="AQ46" s="155"/>
      <c r="AR46" s="87"/>
      <c r="AV46" s="136"/>
    </row>
    <row r="47" spans="2:48" ht="14.25" customHeight="1" thickBot="1">
      <c r="B47" s="1139" t="s">
        <v>584</v>
      </c>
      <c r="C47" s="1136"/>
      <c r="D47" s="1137">
        <f>D43+D45+15+35</f>
        <v>360</v>
      </c>
      <c r="E47" s="195" t="s">
        <v>94</v>
      </c>
      <c r="F47" s="277">
        <v>150</v>
      </c>
      <c r="G47" s="258">
        <v>150</v>
      </c>
      <c r="H47" s="57"/>
      <c r="I47" s="29"/>
      <c r="J47" s="74"/>
      <c r="K47" s="57"/>
      <c r="L47" s="29"/>
      <c r="M47" s="74"/>
      <c r="AC47" s="62"/>
      <c r="AE47" s="62"/>
      <c r="AF47" s="1570"/>
      <c r="AG47" s="786"/>
      <c r="AH47" s="1570"/>
      <c r="AI47" s="62"/>
      <c r="AJ47" s="282"/>
      <c r="AK47" s="62"/>
      <c r="AL47" s="1570"/>
      <c r="AM47" s="142"/>
      <c r="AN47" s="4"/>
      <c r="AO47" s="116"/>
      <c r="AP47" s="140"/>
      <c r="AQ47" s="4"/>
      <c r="AR47" s="32"/>
      <c r="AV47" s="315"/>
    </row>
    <row r="48" spans="2:48" ht="14.25" customHeight="1">
      <c r="AB48" s="4"/>
      <c r="AC48" s="1787"/>
      <c r="AD48" s="8"/>
      <c r="AE48" s="62"/>
      <c r="AF48" s="1570"/>
      <c r="AG48" s="786"/>
      <c r="AH48" s="1570"/>
      <c r="AI48" s="62"/>
      <c r="AJ48" s="282"/>
      <c r="AK48" s="62"/>
      <c r="AL48" s="1570"/>
      <c r="AN48" s="142"/>
      <c r="AP48" s="142"/>
      <c r="AQ48" s="91"/>
      <c r="AR48" s="110"/>
      <c r="AS48" s="141"/>
      <c r="AT48" s="48"/>
      <c r="AU48" s="8"/>
      <c r="AV48" s="137"/>
    </row>
    <row r="49" spans="3:48" ht="15" customHeight="1">
      <c r="AL49" s="1570"/>
      <c r="AS49" s="198"/>
      <c r="AT49" s="4"/>
      <c r="AU49" s="8"/>
      <c r="AV49" s="137"/>
    </row>
    <row r="50" spans="3:48" ht="14.25" customHeight="1">
      <c r="Q50" s="1570"/>
      <c r="S50" s="367"/>
      <c r="U50" s="1570"/>
      <c r="W50" s="367"/>
      <c r="Y50" s="367"/>
      <c r="AL50" s="1570"/>
      <c r="AS50" s="142"/>
      <c r="AT50" s="657"/>
    </row>
    <row r="51" spans="3:48" ht="14.25" customHeight="1">
      <c r="O51" s="8"/>
      <c r="Q51" s="1570"/>
      <c r="S51" s="367"/>
      <c r="U51" s="1570"/>
      <c r="W51" s="367"/>
      <c r="Y51" s="367"/>
      <c r="AL51" s="1570"/>
      <c r="AN51" s="4"/>
      <c r="AT51" s="183"/>
      <c r="AU51" s="183"/>
      <c r="AV51" s="124"/>
    </row>
    <row r="52" spans="3:48" ht="14.25" customHeight="1">
      <c r="Q52" s="1570"/>
      <c r="S52" s="1570"/>
      <c r="U52" s="367"/>
      <c r="W52" s="367"/>
      <c r="Y52" s="367"/>
      <c r="AL52" s="367"/>
      <c r="AT52" s="183"/>
      <c r="AU52" s="183"/>
      <c r="AV52" s="124"/>
    </row>
    <row r="53" spans="3:48" ht="13.5" customHeight="1">
      <c r="Q53" s="1570"/>
      <c r="S53" s="1570"/>
      <c r="U53" s="367"/>
      <c r="W53" s="367"/>
      <c r="Y53" s="367"/>
      <c r="AL53" s="1570"/>
      <c r="AS53" s="136"/>
      <c r="AT53" s="46"/>
      <c r="AU53" s="214"/>
      <c r="AV53" s="124"/>
    </row>
    <row r="54" spans="3:48" ht="13.5" customHeight="1">
      <c r="Q54" s="1570"/>
      <c r="S54" s="1570"/>
      <c r="U54" s="1570"/>
      <c r="W54" s="1570"/>
      <c r="Y54" s="1570"/>
      <c r="AL54" s="1570"/>
      <c r="AS54" s="142"/>
      <c r="AT54" s="183"/>
      <c r="AU54" s="183"/>
      <c r="AV54" s="142"/>
    </row>
    <row r="55" spans="3:48" ht="13.5" customHeight="1">
      <c r="Q55" s="1570"/>
      <c r="S55" s="1570"/>
      <c r="U55" s="1570"/>
      <c r="W55" s="1570"/>
      <c r="Y55" s="1570"/>
      <c r="AL55" s="1570"/>
      <c r="AS55" s="142"/>
      <c r="AT55" s="183"/>
      <c r="AU55" s="183"/>
      <c r="AV55" s="142"/>
    </row>
    <row r="56" spans="3:48" ht="14.25" customHeight="1">
      <c r="Q56" s="1570"/>
      <c r="S56" s="1570"/>
      <c r="U56" s="1570"/>
      <c r="W56" s="1570"/>
      <c r="Y56" s="1570"/>
      <c r="AC56" s="62"/>
      <c r="AE56" s="62"/>
      <c r="AF56" s="1570"/>
      <c r="AG56" s="786"/>
      <c r="AH56" s="1570"/>
      <c r="AI56" s="62"/>
      <c r="AJ56" s="282"/>
      <c r="AK56" s="62"/>
      <c r="AL56" s="1570"/>
      <c r="AP56" s="142"/>
      <c r="AQ56" s="4"/>
      <c r="AR56" s="8"/>
      <c r="AS56" s="142"/>
      <c r="AT56" s="8"/>
      <c r="AU56" s="8"/>
      <c r="AV56" s="124"/>
    </row>
    <row r="57" spans="3:48" ht="12.75" customHeight="1">
      <c r="Q57" s="1570"/>
      <c r="S57" s="1570"/>
      <c r="U57" s="1570"/>
      <c r="W57" s="1570"/>
      <c r="Y57" s="1570"/>
      <c r="AC57" s="62"/>
      <c r="AE57" s="62"/>
      <c r="AF57" s="1570"/>
      <c r="AG57" s="786"/>
      <c r="AH57" s="1570"/>
      <c r="AI57" s="62"/>
      <c r="AJ57" s="282"/>
      <c r="AK57" s="62"/>
      <c r="AL57" s="1570"/>
      <c r="AQ57" s="4"/>
      <c r="AR57" s="8"/>
      <c r="AS57" s="142"/>
      <c r="AT57" s="8"/>
      <c r="AU57" s="8"/>
      <c r="AV57" s="140"/>
    </row>
    <row r="58" spans="3:48" ht="13.5" customHeight="1">
      <c r="Q58" s="1570"/>
      <c r="S58" s="1570"/>
      <c r="U58" s="1570"/>
      <c r="W58" s="1570"/>
      <c r="Y58" s="1570"/>
      <c r="AC58" s="62"/>
      <c r="AE58" s="62"/>
      <c r="AF58" s="1570"/>
      <c r="AG58" s="786"/>
      <c r="AH58" s="1570"/>
      <c r="AI58" s="62"/>
      <c r="AJ58" s="282"/>
      <c r="AK58" s="62"/>
      <c r="AL58" s="1570"/>
    </row>
    <row r="59" spans="3:48" ht="15" customHeight="1">
      <c r="Q59" s="1570"/>
      <c r="S59" s="1570"/>
      <c r="U59" s="1570"/>
      <c r="W59" s="1570"/>
      <c r="Y59" s="1570"/>
      <c r="AC59" s="62"/>
      <c r="AE59" s="62"/>
      <c r="AF59" s="1570"/>
      <c r="AG59" s="786"/>
      <c r="AH59" s="1570"/>
      <c r="AI59" s="62"/>
      <c r="AJ59" s="282"/>
      <c r="AK59" s="62"/>
      <c r="AL59" s="1570"/>
    </row>
    <row r="60" spans="3:48" ht="16.5" customHeight="1">
      <c r="Q60" s="1570"/>
      <c r="S60" s="1570"/>
      <c r="U60" s="1570"/>
      <c r="W60" s="1570"/>
      <c r="Y60" s="1570"/>
      <c r="AC60" s="62"/>
      <c r="AE60" s="62"/>
      <c r="AF60" s="1570"/>
      <c r="AG60" s="786"/>
      <c r="AH60" s="1570"/>
      <c r="AI60" s="62"/>
      <c r="AJ60" s="282"/>
      <c r="AK60" s="62"/>
      <c r="AL60" s="1570"/>
    </row>
    <row r="61" spans="3:48" ht="15.75" customHeight="1">
      <c r="C61" s="171" t="s">
        <v>551</v>
      </c>
      <c r="G61" s="2"/>
      <c r="H61" s="2"/>
      <c r="I61" s="2"/>
      <c r="L61" s="2"/>
      <c r="O61" t="s">
        <v>872</v>
      </c>
      <c r="Y61" s="1570"/>
      <c r="AA61" t="s">
        <v>872</v>
      </c>
      <c r="AK61" s="62"/>
      <c r="AL61" s="1570"/>
    </row>
    <row r="62" spans="3:48">
      <c r="C62"/>
      <c r="D62" s="94" t="s">
        <v>354</v>
      </c>
      <c r="F62" s="15"/>
      <c r="K62" s="87"/>
      <c r="O62" s="94"/>
      <c r="P62" s="201"/>
      <c r="U62" s="129"/>
      <c r="W62" s="45"/>
      <c r="X62" s="63"/>
      <c r="Y62" s="1570"/>
      <c r="AA62" s="94" t="str">
        <f>O67</f>
        <v>2- й   день</v>
      </c>
      <c r="AB62" s="201" t="s">
        <v>513</v>
      </c>
      <c r="AG62" s="129" t="s">
        <v>174</v>
      </c>
      <c r="AI62" s="45" t="s">
        <v>558</v>
      </c>
      <c r="AJ62" s="63"/>
      <c r="AK62" s="62"/>
      <c r="AL62" s="1570"/>
    </row>
    <row r="63" spans="3:48">
      <c r="Y63" s="1570"/>
      <c r="AK63" s="62"/>
      <c r="AL63" s="1570"/>
    </row>
    <row r="64" spans="3:48" ht="12.75" customHeight="1" thickBot="1">
      <c r="C64" s="1" t="s">
        <v>552</v>
      </c>
      <c r="Q64" s="1570"/>
      <c r="S64" s="1570"/>
      <c r="U64" s="1570"/>
      <c r="W64" s="1570"/>
      <c r="Y64" s="1570"/>
      <c r="AC64" s="62"/>
      <c r="AE64" s="62"/>
      <c r="AF64" s="1570"/>
      <c r="AG64" s="786"/>
      <c r="AH64" s="1570"/>
      <c r="AI64" s="62"/>
      <c r="AJ64" s="282"/>
      <c r="AK64" s="62"/>
      <c r="AL64" s="1570"/>
    </row>
    <row r="65" spans="2:57">
      <c r="C65" s="1" t="s">
        <v>553</v>
      </c>
      <c r="Q65" s="1570"/>
      <c r="S65" s="1570"/>
      <c r="U65" s="1570"/>
      <c r="W65" s="1570"/>
      <c r="Y65" s="1570"/>
      <c r="AA65" s="1612" t="s">
        <v>508</v>
      </c>
      <c r="AB65" s="1676" t="s">
        <v>886</v>
      </c>
      <c r="AC65" s="1602"/>
      <c r="AD65" s="1676" t="s">
        <v>885</v>
      </c>
      <c r="AE65" s="1602"/>
      <c r="AF65" s="1676" t="s">
        <v>887</v>
      </c>
      <c r="AG65" s="1602"/>
      <c r="AH65" s="1676" t="s">
        <v>888</v>
      </c>
      <c r="AI65" s="1602"/>
      <c r="AJ65" s="1798" t="s">
        <v>890</v>
      </c>
      <c r="AK65" s="1602"/>
      <c r="AL65" s="1570"/>
    </row>
    <row r="66" spans="2:57" ht="15.75" thickBot="1">
      <c r="C66" s="1" t="s">
        <v>553</v>
      </c>
      <c r="E66" t="s">
        <v>554</v>
      </c>
      <c r="Q66" s="1570"/>
      <c r="S66" s="367"/>
      <c r="U66" s="367"/>
      <c r="W66" s="1570"/>
      <c r="Y66" s="1570"/>
      <c r="AA66" s="2003" t="s">
        <v>67</v>
      </c>
      <c r="AB66" s="1621" t="s">
        <v>119</v>
      </c>
      <c r="AC66" s="1664" t="s">
        <v>120</v>
      </c>
      <c r="AD66" s="1637" t="s">
        <v>119</v>
      </c>
      <c r="AE66" s="1638" t="s">
        <v>120</v>
      </c>
      <c r="AF66" s="1637" t="s">
        <v>119</v>
      </c>
      <c r="AG66" s="1638" t="s">
        <v>120</v>
      </c>
      <c r="AH66" s="1621" t="s">
        <v>119</v>
      </c>
      <c r="AI66" s="1622" t="s">
        <v>120</v>
      </c>
      <c r="AJ66" s="1799" t="s">
        <v>119</v>
      </c>
      <c r="AK66" s="1622" t="s">
        <v>120</v>
      </c>
      <c r="AL66" s="1570"/>
    </row>
    <row r="67" spans="2:57" ht="16.5" thickBot="1">
      <c r="C67" s="1" t="s">
        <v>555</v>
      </c>
      <c r="E67" t="s">
        <v>556</v>
      </c>
      <c r="O67" s="1936" t="s">
        <v>398</v>
      </c>
      <c r="P67" s="516" t="s">
        <v>513</v>
      </c>
      <c r="Q67" s="38"/>
      <c r="R67" s="38"/>
      <c r="S67" s="38"/>
      <c r="T67" s="38"/>
      <c r="U67" s="1937" t="s">
        <v>174</v>
      </c>
      <c r="V67" s="38"/>
      <c r="W67" s="1938" t="s">
        <v>558</v>
      </c>
      <c r="X67" s="1939"/>
      <c r="Y67" s="1582"/>
      <c r="AA67" s="2034" t="s">
        <v>159</v>
      </c>
      <c r="AB67" s="2035"/>
      <c r="AC67" s="2036"/>
      <c r="AD67" s="1792"/>
      <c r="AE67" s="2037"/>
      <c r="AF67" s="1792"/>
      <c r="AG67" s="2038"/>
      <c r="AH67" s="1792">
        <f>AB67+AD67</f>
        <v>0</v>
      </c>
      <c r="AI67" s="2019">
        <f>AC67+AE67</f>
        <v>0</v>
      </c>
      <c r="AJ67" s="1792">
        <f>AD67+AF67</f>
        <v>0</v>
      </c>
      <c r="AK67" s="1583">
        <f>AE67+AG67</f>
        <v>0</v>
      </c>
      <c r="AL67" s="1570"/>
      <c r="AM67" s="37"/>
      <c r="AN67" s="312" t="s">
        <v>893</v>
      </c>
      <c r="AO67" s="38"/>
      <c r="AP67" s="38"/>
      <c r="AQ67" s="38"/>
      <c r="AR67" s="50"/>
    </row>
    <row r="68" spans="2:57" ht="15.75" thickBot="1">
      <c r="C68" s="1" t="s">
        <v>555</v>
      </c>
      <c r="E68" t="s">
        <v>557</v>
      </c>
      <c r="O68" s="1612" t="s">
        <v>508</v>
      </c>
      <c r="P68" s="1676" t="s">
        <v>886</v>
      </c>
      <c r="Q68" s="1602"/>
      <c r="R68" s="1676" t="s">
        <v>885</v>
      </c>
      <c r="S68" s="1602"/>
      <c r="T68" s="1676" t="s">
        <v>887</v>
      </c>
      <c r="U68" s="1602"/>
      <c r="V68" s="1676" t="s">
        <v>889</v>
      </c>
      <c r="W68" s="1602"/>
      <c r="X68" s="1977" t="s">
        <v>891</v>
      </c>
      <c r="Y68" s="1978"/>
      <c r="AA68" s="2039" t="s">
        <v>70</v>
      </c>
      <c r="AB68" s="444"/>
      <c r="AC68" s="1956"/>
      <c r="AD68" s="1789"/>
      <c r="AE68" s="1598"/>
      <c r="AF68" s="1789"/>
      <c r="AG68" s="1681"/>
      <c r="AH68" s="1789">
        <f t="shared" ref="AH68:AH81" si="30">AB68+AD68</f>
        <v>0</v>
      </c>
      <c r="AI68" s="1586">
        <f t="shared" ref="AI68:AI85" si="31">AC68+AE68</f>
        <v>0</v>
      </c>
      <c r="AJ68" s="1789">
        <f t="shared" ref="AJ68:AJ81" si="32">AD68+AF68</f>
        <v>0</v>
      </c>
      <c r="AK68" s="1585">
        <f t="shared" ref="AK68:AK85" si="33">AE68+AG68</f>
        <v>0</v>
      </c>
      <c r="AL68" s="1570"/>
      <c r="AM68" s="1612" t="s">
        <v>508</v>
      </c>
      <c r="AN68" s="1862" t="s">
        <v>892</v>
      </c>
      <c r="AO68" s="1832"/>
      <c r="AP68" s="1612" t="s">
        <v>508</v>
      </c>
      <c r="AQ68" s="1861" t="s">
        <v>892</v>
      </c>
      <c r="AR68" s="1841"/>
    </row>
    <row r="69" spans="2:57" ht="12.75" customHeight="1" thickBot="1">
      <c r="O69" s="871"/>
      <c r="P69" s="1621" t="s">
        <v>119</v>
      </c>
      <c r="Q69" s="1622" t="s">
        <v>120</v>
      </c>
      <c r="R69" s="1621" t="s">
        <v>119</v>
      </c>
      <c r="S69" s="1622" t="s">
        <v>120</v>
      </c>
      <c r="T69" s="1621" t="s">
        <v>119</v>
      </c>
      <c r="U69" s="1622" t="s">
        <v>120</v>
      </c>
      <c r="V69" s="1621" t="s">
        <v>119</v>
      </c>
      <c r="W69" s="1622" t="s">
        <v>120</v>
      </c>
      <c r="X69" s="1804" t="s">
        <v>119</v>
      </c>
      <c r="Y69" s="1822" t="s">
        <v>120</v>
      </c>
      <c r="AA69" s="2040" t="s">
        <v>72</v>
      </c>
      <c r="AB69" s="444"/>
      <c r="AC69" s="1957"/>
      <c r="AD69" s="1789"/>
      <c r="AE69" s="1598"/>
      <c r="AF69" s="1789"/>
      <c r="AG69" s="1681"/>
      <c r="AH69" s="1789">
        <f t="shared" si="30"/>
        <v>0</v>
      </c>
      <c r="AI69" s="1586">
        <f t="shared" si="31"/>
        <v>0</v>
      </c>
      <c r="AJ69" s="1789">
        <f t="shared" si="32"/>
        <v>0</v>
      </c>
      <c r="AK69" s="1585">
        <f t="shared" si="33"/>
        <v>0</v>
      </c>
      <c r="AM69" s="871"/>
      <c r="AN69" s="1863" t="s">
        <v>119</v>
      </c>
      <c r="AO69" s="1833" t="s">
        <v>120</v>
      </c>
      <c r="AP69" s="2003" t="s">
        <v>67</v>
      </c>
      <c r="AQ69" s="1864" t="s">
        <v>119</v>
      </c>
      <c r="AR69" s="1842" t="s">
        <v>120</v>
      </c>
      <c r="AT69" s="855"/>
      <c r="AV69" s="62"/>
      <c r="AW69" s="855"/>
      <c r="AX69" s="62"/>
      <c r="AY69" s="1570"/>
      <c r="AZ69" s="786"/>
      <c r="BA69" s="1570"/>
      <c r="BB69" s="62"/>
      <c r="BC69" s="1908"/>
      <c r="BD69" s="62"/>
      <c r="BE69" s="1570"/>
    </row>
    <row r="70" spans="2:57" ht="12.75" customHeight="1">
      <c r="B70" s="2" t="s">
        <v>513</v>
      </c>
      <c r="F70" s="129" t="s">
        <v>174</v>
      </c>
      <c r="I70" s="13" t="s">
        <v>558</v>
      </c>
      <c r="K70" s="346"/>
      <c r="O70" s="1940" t="s">
        <v>165</v>
      </c>
      <c r="P70" s="1731">
        <f>D81</f>
        <v>40</v>
      </c>
      <c r="Q70" s="1583">
        <f>D81</f>
        <v>40</v>
      </c>
      <c r="R70" s="1731">
        <f>D90</f>
        <v>50</v>
      </c>
      <c r="S70" s="1583">
        <f>D90</f>
        <v>50</v>
      </c>
      <c r="T70" s="1731"/>
      <c r="U70" s="1583"/>
      <c r="V70" s="1731">
        <f>P70+R70</f>
        <v>90</v>
      </c>
      <c r="W70" s="1973">
        <f>Q70+S70</f>
        <v>90</v>
      </c>
      <c r="X70" s="1731">
        <f>R70+T70</f>
        <v>50</v>
      </c>
      <c r="Y70" s="1585">
        <f>S70+U70</f>
        <v>50</v>
      </c>
      <c r="AA70" s="2040" t="s">
        <v>74</v>
      </c>
      <c r="AB70" s="444"/>
      <c r="AC70" s="1958"/>
      <c r="AD70" s="1789"/>
      <c r="AE70" s="1598"/>
      <c r="AF70" s="1789"/>
      <c r="AG70" s="1681"/>
      <c r="AH70" s="1789">
        <f t="shared" si="30"/>
        <v>0</v>
      </c>
      <c r="AI70" s="1586">
        <f t="shared" si="31"/>
        <v>0</v>
      </c>
      <c r="AJ70" s="1789">
        <f t="shared" si="32"/>
        <v>0</v>
      </c>
      <c r="AK70" s="1585">
        <f t="shared" si="33"/>
        <v>0</v>
      </c>
      <c r="AM70" s="1943" t="s">
        <v>165</v>
      </c>
      <c r="AN70" s="1954">
        <f>P70+R70+T70</f>
        <v>90</v>
      </c>
      <c r="AO70" s="1955">
        <f>Q70+S70+U70</f>
        <v>90</v>
      </c>
      <c r="AP70" s="1921" t="str">
        <f>AA67</f>
        <v>горошек конс. зелён.</v>
      </c>
      <c r="AQ70" s="1922">
        <f>AB67+AD67+AF67</f>
        <v>0</v>
      </c>
      <c r="AR70" s="856">
        <f>AC67+AE67+AG67</f>
        <v>0</v>
      </c>
      <c r="AV70" s="62"/>
      <c r="AX70" s="62"/>
      <c r="AZ70" s="786"/>
      <c r="BB70" s="62"/>
      <c r="BD70" s="62"/>
    </row>
    <row r="71" spans="2:57" ht="13.5" customHeight="1" thickBot="1">
      <c r="O71" s="1613" t="s">
        <v>164</v>
      </c>
      <c r="P71" s="1724">
        <f>D80</f>
        <v>60</v>
      </c>
      <c r="Q71" s="1584">
        <f>D80</f>
        <v>60</v>
      </c>
      <c r="R71" s="1724">
        <f>D89</f>
        <v>70</v>
      </c>
      <c r="S71" s="1584">
        <f>D89</f>
        <v>70</v>
      </c>
      <c r="T71" s="1724">
        <f>D101</f>
        <v>40</v>
      </c>
      <c r="U71" s="1584">
        <f>D101</f>
        <v>40</v>
      </c>
      <c r="V71" s="1724">
        <f t="shared" ref="V71:V99" si="34">P71+R71</f>
        <v>130</v>
      </c>
      <c r="W71" s="1605">
        <f t="shared" ref="W71:W100" si="35">Q71+S71</f>
        <v>130</v>
      </c>
      <c r="X71" s="1724">
        <f t="shared" ref="X71:X104" si="36">R71+T71</f>
        <v>110</v>
      </c>
      <c r="Y71" s="1585">
        <f t="shared" ref="Y71:Y100" si="37">S71+U71</f>
        <v>110</v>
      </c>
      <c r="AA71" s="2041" t="s">
        <v>112</v>
      </c>
      <c r="AB71" s="444">
        <f>F81</f>
        <v>2.5</v>
      </c>
      <c r="AC71" s="1957">
        <f>F81</f>
        <v>2.5</v>
      </c>
      <c r="AD71" s="1969">
        <f>L85</f>
        <v>16.8</v>
      </c>
      <c r="AE71" s="1673">
        <f>M85</f>
        <v>16.8</v>
      </c>
      <c r="AF71" s="1789"/>
      <c r="AG71" s="1681"/>
      <c r="AH71" s="1789">
        <f t="shared" si="30"/>
        <v>19.3</v>
      </c>
      <c r="AI71" s="1586">
        <f t="shared" si="31"/>
        <v>19.3</v>
      </c>
      <c r="AJ71" s="1789">
        <f t="shared" si="32"/>
        <v>16.8</v>
      </c>
      <c r="AK71" s="1585">
        <f t="shared" si="33"/>
        <v>16.8</v>
      </c>
      <c r="AM71" s="1944" t="s">
        <v>164</v>
      </c>
      <c r="AN71" s="1922">
        <f t="shared" ref="AN71:AN105" si="38">P71+R71+T71</f>
        <v>170</v>
      </c>
      <c r="AO71" s="858">
        <f t="shared" ref="AO71:AO103" si="39">Q71+S71+U71</f>
        <v>170</v>
      </c>
      <c r="AP71" s="1921" t="str">
        <f t="shared" ref="AP71:AP84" si="40">AA68</f>
        <v>репа бакл</v>
      </c>
      <c r="AQ71" s="1922">
        <f t="shared" ref="AQ71:AQ84" si="41">AB68+AD68+AF68</f>
        <v>0</v>
      </c>
      <c r="AR71" s="856">
        <f t="shared" ref="AR71:AR85" si="42">AC68+AE68+AG68</f>
        <v>0</v>
      </c>
      <c r="AV71" s="62"/>
      <c r="AX71" s="62"/>
      <c r="AZ71" s="786"/>
      <c r="BB71" s="62"/>
      <c r="BD71" s="62"/>
    </row>
    <row r="72" spans="2:57">
      <c r="B72" s="869" t="s">
        <v>2</v>
      </c>
      <c r="C72" s="870" t="s">
        <v>3</v>
      </c>
      <c r="D72" s="35" t="s">
        <v>4</v>
      </c>
      <c r="E72" s="88" t="s">
        <v>69</v>
      </c>
      <c r="F72" s="68"/>
      <c r="G72" s="68"/>
      <c r="H72" s="68"/>
      <c r="I72" s="68"/>
      <c r="J72" s="68"/>
      <c r="K72" s="68"/>
      <c r="L72" s="68"/>
      <c r="M72" s="54"/>
      <c r="O72" s="1941" t="s">
        <v>92</v>
      </c>
      <c r="P72" s="1724"/>
      <c r="Q72" s="1606"/>
      <c r="R72" s="1724"/>
      <c r="S72" s="1606"/>
      <c r="T72" s="1724">
        <f>L101</f>
        <v>1.35</v>
      </c>
      <c r="U72" s="1605">
        <f>M101</f>
        <v>1.35</v>
      </c>
      <c r="V72" s="1724">
        <f t="shared" si="34"/>
        <v>0</v>
      </c>
      <c r="W72" s="1605">
        <f t="shared" si="35"/>
        <v>0</v>
      </c>
      <c r="X72" s="1724">
        <f t="shared" si="36"/>
        <v>1.35</v>
      </c>
      <c r="Y72" s="1585">
        <f t="shared" si="37"/>
        <v>1.35</v>
      </c>
      <c r="AA72" s="2040" t="s">
        <v>161</v>
      </c>
      <c r="AB72" s="444"/>
      <c r="AC72" s="1957"/>
      <c r="AD72" s="1789"/>
      <c r="AE72" s="1598"/>
      <c r="AF72" s="1789"/>
      <c r="AG72" s="1681"/>
      <c r="AH72" s="1789">
        <f t="shared" si="30"/>
        <v>0</v>
      </c>
      <c r="AI72" s="1586">
        <f t="shared" si="31"/>
        <v>0</v>
      </c>
      <c r="AJ72" s="1789">
        <f t="shared" si="32"/>
        <v>0</v>
      </c>
      <c r="AK72" s="1585">
        <f t="shared" si="33"/>
        <v>0</v>
      </c>
      <c r="AM72" s="1944" t="s">
        <v>92</v>
      </c>
      <c r="AN72" s="1922">
        <f t="shared" si="38"/>
        <v>1.35</v>
      </c>
      <c r="AO72" s="858">
        <f t="shared" si="39"/>
        <v>1.35</v>
      </c>
      <c r="AP72" s="1921" t="str">
        <f t="shared" si="40"/>
        <v>кабачек</v>
      </c>
      <c r="AQ72" s="1922">
        <f t="shared" si="41"/>
        <v>0</v>
      </c>
      <c r="AR72" s="856">
        <f t="shared" si="42"/>
        <v>0</v>
      </c>
      <c r="AV72" s="62"/>
      <c r="AX72" s="62"/>
      <c r="AZ72" s="786"/>
      <c r="BB72" s="62"/>
      <c r="BD72" s="62"/>
    </row>
    <row r="73" spans="2:57" ht="15.75" thickBot="1">
      <c r="B73" s="407" t="s">
        <v>5</v>
      </c>
      <c r="C73" s="871"/>
      <c r="D73" s="8" t="s">
        <v>71</v>
      </c>
      <c r="E73" s="1055"/>
      <c r="H73" s="12"/>
      <c r="K73" s="874"/>
      <c r="L73" s="29"/>
      <c r="M73" s="74"/>
      <c r="O73" s="1614" t="s">
        <v>900</v>
      </c>
      <c r="P73" s="1725">
        <f t="shared" ref="P73:U73" si="43">AB103</f>
        <v>51</v>
      </c>
      <c r="Q73" s="1820">
        <f t="shared" si="43"/>
        <v>51</v>
      </c>
      <c r="R73" s="1725">
        <f t="shared" si="43"/>
        <v>0</v>
      </c>
      <c r="S73" s="1820">
        <f t="shared" si="43"/>
        <v>0</v>
      </c>
      <c r="T73" s="1725">
        <f t="shared" si="43"/>
        <v>20.7</v>
      </c>
      <c r="U73" s="1820">
        <f t="shared" si="43"/>
        <v>20.7</v>
      </c>
      <c r="V73" s="1725">
        <f>P73+R73</f>
        <v>51</v>
      </c>
      <c r="W73" s="1974">
        <f t="shared" si="35"/>
        <v>51</v>
      </c>
      <c r="X73" s="1725">
        <f t="shared" si="36"/>
        <v>20.7</v>
      </c>
      <c r="Y73" s="1820">
        <f t="shared" si="37"/>
        <v>20.7</v>
      </c>
      <c r="AA73" s="2040" t="s">
        <v>155</v>
      </c>
      <c r="AB73" s="444"/>
      <c r="AC73" s="1957"/>
      <c r="AD73" s="1789"/>
      <c r="AE73" s="1598"/>
      <c r="AF73" s="1789"/>
      <c r="AG73" s="1681"/>
      <c r="AH73" s="1789">
        <f t="shared" si="30"/>
        <v>0</v>
      </c>
      <c r="AI73" s="1586">
        <f t="shared" si="31"/>
        <v>0</v>
      </c>
      <c r="AJ73" s="1789">
        <f t="shared" si="32"/>
        <v>0</v>
      </c>
      <c r="AK73" s="1585">
        <f t="shared" si="33"/>
        <v>0</v>
      </c>
      <c r="AM73" s="1945" t="s">
        <v>873</v>
      </c>
      <c r="AN73" s="1922">
        <f t="shared" si="38"/>
        <v>71.7</v>
      </c>
      <c r="AO73" s="858">
        <f t="shared" si="39"/>
        <v>71.7</v>
      </c>
      <c r="AP73" s="1921" t="str">
        <f t="shared" si="40"/>
        <v>тыква</v>
      </c>
      <c r="AQ73" s="1922">
        <f t="shared" si="41"/>
        <v>0</v>
      </c>
      <c r="AR73" s="856">
        <f t="shared" si="42"/>
        <v>0</v>
      </c>
      <c r="AV73" s="62"/>
      <c r="AX73" s="62"/>
      <c r="AZ73" s="786"/>
      <c r="BB73" s="62"/>
      <c r="BD73" s="62"/>
    </row>
    <row r="74" spans="2:57" ht="16.5" thickBot="1">
      <c r="B74" s="868" t="s">
        <v>398</v>
      </c>
      <c r="C74" s="3"/>
      <c r="D74" s="316"/>
      <c r="E74" s="321" t="s">
        <v>397</v>
      </c>
      <c r="F74" s="1056"/>
      <c r="G74" s="1056"/>
      <c r="H74" s="38"/>
      <c r="I74" s="38"/>
      <c r="J74" s="50"/>
      <c r="K74" s="761" t="s">
        <v>230</v>
      </c>
      <c r="L74" s="286"/>
      <c r="M74" s="471"/>
      <c r="N74" s="3"/>
      <c r="O74" s="1613" t="s">
        <v>123</v>
      </c>
      <c r="P74" s="1724"/>
      <c r="Q74" s="1585"/>
      <c r="R74" s="1724">
        <f>F86</f>
        <v>20.9</v>
      </c>
      <c r="S74" s="1585">
        <f>G86</f>
        <v>20.9</v>
      </c>
      <c r="T74" s="1724"/>
      <c r="U74" s="1585"/>
      <c r="V74" s="1724">
        <f t="shared" si="34"/>
        <v>20.9</v>
      </c>
      <c r="W74" s="1605">
        <f t="shared" si="35"/>
        <v>20.9</v>
      </c>
      <c r="X74" s="1724">
        <f t="shared" si="36"/>
        <v>20.9</v>
      </c>
      <c r="Y74" s="1585">
        <f t="shared" si="37"/>
        <v>20.9</v>
      </c>
      <c r="AA74" s="2040" t="s">
        <v>158</v>
      </c>
      <c r="AB74" s="444"/>
      <c r="AC74" s="1959"/>
      <c r="AD74" s="1789"/>
      <c r="AE74" s="1598"/>
      <c r="AF74" s="1789"/>
      <c r="AG74" s="1681"/>
      <c r="AH74" s="1789">
        <f t="shared" si="30"/>
        <v>0</v>
      </c>
      <c r="AI74" s="1586">
        <f t="shared" si="31"/>
        <v>0</v>
      </c>
      <c r="AJ74" s="1789">
        <f t="shared" si="32"/>
        <v>0</v>
      </c>
      <c r="AK74" s="1585">
        <f t="shared" si="33"/>
        <v>0</v>
      </c>
      <c r="AM74" s="1944" t="s">
        <v>123</v>
      </c>
      <c r="AN74" s="1922">
        <f t="shared" si="38"/>
        <v>20.9</v>
      </c>
      <c r="AO74" s="858">
        <f t="shared" si="39"/>
        <v>20.9</v>
      </c>
      <c r="AP74" s="1921" t="str">
        <f t="shared" si="40"/>
        <v>томат пюре</v>
      </c>
      <c r="AQ74" s="1922">
        <f t="shared" si="41"/>
        <v>19.3</v>
      </c>
      <c r="AR74" s="856">
        <f t="shared" si="42"/>
        <v>19.3</v>
      </c>
      <c r="AV74" s="62"/>
      <c r="AX74" s="62"/>
      <c r="AZ74" s="786"/>
      <c r="BB74" s="62"/>
      <c r="BD74" s="62"/>
    </row>
    <row r="75" spans="2:57" ht="14.25" customHeight="1" thickBot="1">
      <c r="B75" s="809"/>
      <c r="C75" s="163" t="s">
        <v>199</v>
      </c>
      <c r="D75" s="130"/>
      <c r="E75" s="155" t="s">
        <v>118</v>
      </c>
      <c r="F75" s="103" t="s">
        <v>119</v>
      </c>
      <c r="G75" s="318" t="s">
        <v>120</v>
      </c>
      <c r="H75" s="686" t="s">
        <v>118</v>
      </c>
      <c r="I75" s="252" t="s">
        <v>119</v>
      </c>
      <c r="J75" s="253" t="s">
        <v>120</v>
      </c>
      <c r="K75" s="823" t="s">
        <v>318</v>
      </c>
      <c r="L75" s="334"/>
      <c r="M75" s="1069"/>
      <c r="O75" s="556" t="s">
        <v>52</v>
      </c>
      <c r="P75" s="1724"/>
      <c r="Q75" s="1585"/>
      <c r="R75" s="1724"/>
      <c r="S75" s="1585"/>
      <c r="T75" s="1724"/>
      <c r="U75" s="1585"/>
      <c r="V75" s="1724">
        <f t="shared" si="34"/>
        <v>0</v>
      </c>
      <c r="W75" s="1605">
        <f t="shared" si="35"/>
        <v>0</v>
      </c>
      <c r="X75" s="1724">
        <f t="shared" si="36"/>
        <v>0</v>
      </c>
      <c r="Y75" s="1585">
        <f t="shared" si="37"/>
        <v>0</v>
      </c>
      <c r="AA75" s="2040" t="s">
        <v>101</v>
      </c>
      <c r="AB75" s="444">
        <f>F79</f>
        <v>14.4</v>
      </c>
      <c r="AC75" s="1959">
        <f>G79</f>
        <v>12</v>
      </c>
      <c r="AD75" s="1789">
        <f>F88+L86</f>
        <v>24.3</v>
      </c>
      <c r="AE75" s="1673">
        <f>G88+M86</f>
        <v>19.8</v>
      </c>
      <c r="AF75" s="1789"/>
      <c r="AG75" s="1681"/>
      <c r="AH75" s="1789">
        <f t="shared" si="30"/>
        <v>38.700000000000003</v>
      </c>
      <c r="AI75" s="1586">
        <f t="shared" si="31"/>
        <v>31.8</v>
      </c>
      <c r="AJ75" s="1789">
        <f t="shared" si="32"/>
        <v>24.3</v>
      </c>
      <c r="AK75" s="1585">
        <f t="shared" si="33"/>
        <v>19.8</v>
      </c>
      <c r="AM75" s="560" t="s">
        <v>52</v>
      </c>
      <c r="AN75" s="1922">
        <f t="shared" si="38"/>
        <v>0</v>
      </c>
      <c r="AO75" s="858">
        <f t="shared" si="39"/>
        <v>0</v>
      </c>
      <c r="AP75" s="1921" t="str">
        <f t="shared" si="40"/>
        <v>зелень св.</v>
      </c>
      <c r="AQ75" s="1922">
        <f t="shared" si="41"/>
        <v>0</v>
      </c>
      <c r="AR75" s="856">
        <f t="shared" si="42"/>
        <v>0</v>
      </c>
      <c r="AV75" s="62"/>
      <c r="AX75" s="62"/>
      <c r="AZ75" s="786"/>
      <c r="BB75" s="62"/>
      <c r="BD75" s="62"/>
    </row>
    <row r="76" spans="2:57" ht="15.75" customHeight="1" thickBot="1">
      <c r="B76" s="1184" t="s">
        <v>630</v>
      </c>
      <c r="C76" s="283" t="s">
        <v>396</v>
      </c>
      <c r="D76" s="332">
        <v>65</v>
      </c>
      <c r="E76" s="320" t="s">
        <v>99</v>
      </c>
      <c r="F76" s="231">
        <v>110</v>
      </c>
      <c r="G76" s="976">
        <v>94.8</v>
      </c>
      <c r="H76" s="388" t="s">
        <v>97</v>
      </c>
      <c r="I76" s="1053">
        <v>1.4</v>
      </c>
      <c r="J76" s="1054">
        <v>1.4</v>
      </c>
      <c r="K76" s="307" t="s">
        <v>118</v>
      </c>
      <c r="L76" s="102" t="s">
        <v>119</v>
      </c>
      <c r="M76" s="133" t="s">
        <v>120</v>
      </c>
      <c r="O76" s="1962" t="s">
        <v>899</v>
      </c>
      <c r="P76" s="1726">
        <f t="shared" ref="P76:U76" si="44">AB82</f>
        <v>118.6</v>
      </c>
      <c r="Q76" s="1604">
        <f t="shared" si="44"/>
        <v>99.5</v>
      </c>
      <c r="R76" s="1726">
        <f t="shared" si="44"/>
        <v>121.01000000000002</v>
      </c>
      <c r="S76" s="1604">
        <f t="shared" si="44"/>
        <v>101.1</v>
      </c>
      <c r="T76" s="1726">
        <f t="shared" si="44"/>
        <v>21.16</v>
      </c>
      <c r="U76" s="1604">
        <f t="shared" si="44"/>
        <v>17.100000000000001</v>
      </c>
      <c r="V76" s="1726">
        <f>P76+R76</f>
        <v>239.61</v>
      </c>
      <c r="W76" s="1975">
        <f t="shared" si="35"/>
        <v>200.6</v>
      </c>
      <c r="X76" s="1726">
        <f>R76+T76</f>
        <v>142.17000000000002</v>
      </c>
      <c r="Y76" s="1604">
        <f t="shared" si="37"/>
        <v>118.19999999999999</v>
      </c>
      <c r="AA76" s="2040" t="s">
        <v>79</v>
      </c>
      <c r="AB76" s="444">
        <f>F80</f>
        <v>25</v>
      </c>
      <c r="AC76" s="1957">
        <f>G80</f>
        <v>20</v>
      </c>
      <c r="AD76" s="1789">
        <f>F87+L84</f>
        <v>68.7</v>
      </c>
      <c r="AE76" s="1598">
        <f>G87+M84</f>
        <v>55</v>
      </c>
      <c r="AF76" s="1789">
        <f>I101</f>
        <v>21.16</v>
      </c>
      <c r="AG76" s="1681">
        <f>J101</f>
        <v>17.100000000000001</v>
      </c>
      <c r="AH76" s="1789">
        <f t="shared" si="30"/>
        <v>93.7</v>
      </c>
      <c r="AI76" s="1586">
        <f t="shared" si="31"/>
        <v>75</v>
      </c>
      <c r="AJ76" s="1789">
        <f t="shared" si="32"/>
        <v>89.86</v>
      </c>
      <c r="AK76" s="1585">
        <f t="shared" si="33"/>
        <v>72.099999999999994</v>
      </c>
      <c r="AM76" s="1946" t="s">
        <v>874</v>
      </c>
      <c r="AN76" s="1922">
        <f t="shared" si="38"/>
        <v>260.77000000000004</v>
      </c>
      <c r="AO76" s="858">
        <f t="shared" si="39"/>
        <v>217.7</v>
      </c>
      <c r="AP76" s="1921" t="str">
        <f t="shared" si="40"/>
        <v>капуста свеж.</v>
      </c>
      <c r="AQ76" s="1922">
        <f t="shared" si="41"/>
        <v>0</v>
      </c>
      <c r="AR76" s="856">
        <f t="shared" si="42"/>
        <v>0</v>
      </c>
      <c r="AV76" s="62"/>
      <c r="AX76" s="62"/>
      <c r="AZ76" s="786"/>
      <c r="BB76" s="62"/>
      <c r="BD76" s="62"/>
    </row>
    <row r="77" spans="2:57" ht="15" customHeight="1">
      <c r="B77" s="246" t="s">
        <v>17</v>
      </c>
      <c r="C77" s="241" t="s">
        <v>113</v>
      </c>
      <c r="D77" s="1233" t="s">
        <v>579</v>
      </c>
      <c r="E77" s="270" t="s">
        <v>114</v>
      </c>
      <c r="F77" s="860">
        <v>51</v>
      </c>
      <c r="G77" s="1052">
        <v>51</v>
      </c>
      <c r="H77" s="249" t="s">
        <v>94</v>
      </c>
      <c r="I77" s="251">
        <v>102.3</v>
      </c>
      <c r="J77" s="255">
        <v>102.3</v>
      </c>
      <c r="K77" s="100" t="s">
        <v>100</v>
      </c>
      <c r="L77" s="123">
        <v>20</v>
      </c>
      <c r="M77" s="309">
        <v>20</v>
      </c>
      <c r="O77" s="556" t="s">
        <v>901</v>
      </c>
      <c r="P77" s="1727">
        <f t="shared" ref="P77:U77" si="45">AB87</f>
        <v>0</v>
      </c>
      <c r="Q77" s="1605">
        <f t="shared" si="45"/>
        <v>0</v>
      </c>
      <c r="R77" s="1727">
        <f t="shared" si="45"/>
        <v>136.19999999999999</v>
      </c>
      <c r="S77" s="1585">
        <f t="shared" si="45"/>
        <v>120</v>
      </c>
      <c r="T77" s="1727">
        <f t="shared" si="45"/>
        <v>0</v>
      </c>
      <c r="U77" s="1585">
        <f t="shared" si="45"/>
        <v>0</v>
      </c>
      <c r="V77" s="1727">
        <f>P77+R77</f>
        <v>136.19999999999999</v>
      </c>
      <c r="W77" s="1605">
        <f t="shared" si="35"/>
        <v>120</v>
      </c>
      <c r="X77" s="1727">
        <f>R77+T77</f>
        <v>136.19999999999999</v>
      </c>
      <c r="Y77" s="1585">
        <f t="shared" si="37"/>
        <v>120</v>
      </c>
      <c r="AA77" s="2040" t="s">
        <v>86</v>
      </c>
      <c r="AB77" s="444"/>
      <c r="AC77" s="1960"/>
      <c r="AD77" s="1789"/>
      <c r="AE77" s="1598"/>
      <c r="AF77" s="1789"/>
      <c r="AG77" s="1681"/>
      <c r="AH77" s="1789">
        <f t="shared" si="30"/>
        <v>0</v>
      </c>
      <c r="AI77" s="1586">
        <f t="shared" si="31"/>
        <v>0</v>
      </c>
      <c r="AJ77" s="1789">
        <f t="shared" si="32"/>
        <v>0</v>
      </c>
      <c r="AK77" s="1585">
        <f t="shared" si="33"/>
        <v>0</v>
      </c>
      <c r="AM77" s="560" t="s">
        <v>901</v>
      </c>
      <c r="AN77" s="1922">
        <f t="shared" si="38"/>
        <v>136.19999999999999</v>
      </c>
      <c r="AO77" s="858">
        <f t="shared" si="39"/>
        <v>120</v>
      </c>
      <c r="AP77" s="1921" t="str">
        <f t="shared" si="40"/>
        <v>капуста квашен.</v>
      </c>
      <c r="AQ77" s="1922">
        <f t="shared" si="41"/>
        <v>0</v>
      </c>
      <c r="AR77" s="856">
        <f t="shared" si="42"/>
        <v>0</v>
      </c>
      <c r="AV77" s="62"/>
      <c r="AX77" s="62"/>
      <c r="AZ77" s="786"/>
      <c r="BB77" s="62"/>
      <c r="BD77" s="62"/>
    </row>
    <row r="78" spans="2:57" ht="15.75" thickBot="1">
      <c r="B78" s="156" t="s">
        <v>490</v>
      </c>
      <c r="C78" s="283" t="s">
        <v>230</v>
      </c>
      <c r="D78" s="429">
        <v>200</v>
      </c>
      <c r="E78" s="270" t="s">
        <v>103</v>
      </c>
      <c r="F78" s="234">
        <v>8</v>
      </c>
      <c r="G78" s="269">
        <v>8</v>
      </c>
      <c r="H78" s="1073" t="s">
        <v>845</v>
      </c>
      <c r="I78" s="251"/>
      <c r="J78" s="255">
        <v>1.5</v>
      </c>
      <c r="K78" s="185" t="s">
        <v>57</v>
      </c>
      <c r="L78" s="233">
        <v>10</v>
      </c>
      <c r="M78" s="247">
        <v>10</v>
      </c>
      <c r="O78" s="1616" t="s">
        <v>122</v>
      </c>
      <c r="P78" s="1727">
        <f>L77</f>
        <v>20</v>
      </c>
      <c r="Q78" s="1585">
        <f>M77</f>
        <v>20</v>
      </c>
      <c r="R78" s="1727"/>
      <c r="S78" s="1585"/>
      <c r="T78" s="1727"/>
      <c r="U78" s="1585"/>
      <c r="V78" s="1724">
        <f t="shared" si="34"/>
        <v>20</v>
      </c>
      <c r="W78" s="1605">
        <f t="shared" si="35"/>
        <v>20</v>
      </c>
      <c r="X78" s="1724">
        <f t="shared" si="36"/>
        <v>0</v>
      </c>
      <c r="Y78" s="1585">
        <f t="shared" si="37"/>
        <v>0</v>
      </c>
      <c r="AA78" s="2040" t="s">
        <v>160</v>
      </c>
      <c r="AB78" s="444">
        <f>I81</f>
        <v>76.7</v>
      </c>
      <c r="AC78" s="1961">
        <f>J81</f>
        <v>65</v>
      </c>
      <c r="AD78" s="1789">
        <f>I87</f>
        <v>11.21</v>
      </c>
      <c r="AE78" s="1597">
        <f>J87</f>
        <v>9.5</v>
      </c>
      <c r="AF78" s="1789"/>
      <c r="AG78" s="1681"/>
      <c r="AH78" s="1789">
        <f t="shared" si="30"/>
        <v>87.91</v>
      </c>
      <c r="AI78" s="1586">
        <f t="shared" si="31"/>
        <v>74.5</v>
      </c>
      <c r="AJ78" s="1789">
        <f t="shared" si="32"/>
        <v>11.21</v>
      </c>
      <c r="AK78" s="1585">
        <f t="shared" si="33"/>
        <v>9.5</v>
      </c>
      <c r="AM78" s="1947" t="s">
        <v>122</v>
      </c>
      <c r="AN78" s="1922">
        <f t="shared" si="38"/>
        <v>20</v>
      </c>
      <c r="AO78" s="858">
        <f t="shared" si="39"/>
        <v>20</v>
      </c>
      <c r="AP78" s="1921" t="str">
        <f t="shared" si="40"/>
        <v>лук репчатый</v>
      </c>
      <c r="AQ78" s="1922">
        <f t="shared" si="41"/>
        <v>38.700000000000003</v>
      </c>
      <c r="AR78" s="856">
        <f t="shared" si="42"/>
        <v>31.8</v>
      </c>
      <c r="AV78" s="62"/>
      <c r="AX78" s="62"/>
      <c r="AZ78" s="786"/>
      <c r="BB78" s="62"/>
      <c r="BD78" s="62"/>
    </row>
    <row r="79" spans="2:57" ht="15.75" thickBot="1">
      <c r="B79" s="359" t="s">
        <v>14</v>
      </c>
      <c r="C79" s="167" t="s">
        <v>318</v>
      </c>
      <c r="D79" s="341"/>
      <c r="E79" s="270" t="s">
        <v>221</v>
      </c>
      <c r="F79" s="234">
        <v>14.4</v>
      </c>
      <c r="G79" s="308">
        <v>12</v>
      </c>
      <c r="H79" s="473" t="s">
        <v>396</v>
      </c>
      <c r="I79" s="278"/>
      <c r="J79" s="50"/>
      <c r="K79" s="503" t="s">
        <v>420</v>
      </c>
      <c r="L79" s="498">
        <v>0.2</v>
      </c>
      <c r="M79" s="499">
        <v>0.2</v>
      </c>
      <c r="O79" s="1941" t="s">
        <v>163</v>
      </c>
      <c r="P79" s="1724"/>
      <c r="Q79" s="1585"/>
      <c r="R79" s="1724"/>
      <c r="S79" s="1585"/>
      <c r="T79" s="1724"/>
      <c r="U79" s="1585"/>
      <c r="V79" s="1724">
        <f t="shared" si="34"/>
        <v>0</v>
      </c>
      <c r="W79" s="1605">
        <f t="shared" si="35"/>
        <v>0</v>
      </c>
      <c r="X79" s="1724">
        <f t="shared" si="36"/>
        <v>0</v>
      </c>
      <c r="Y79" s="1585">
        <f t="shared" si="37"/>
        <v>0</v>
      </c>
      <c r="AA79" s="2040" t="s">
        <v>157</v>
      </c>
      <c r="AB79" s="444"/>
      <c r="AC79" s="1961"/>
      <c r="AD79" s="1789"/>
      <c r="AE79" s="1598"/>
      <c r="AF79" s="1789"/>
      <c r="AG79" s="1681"/>
      <c r="AH79" s="1789">
        <f t="shared" si="30"/>
        <v>0</v>
      </c>
      <c r="AI79" s="1586">
        <f t="shared" si="31"/>
        <v>0</v>
      </c>
      <c r="AJ79" s="1789">
        <f t="shared" si="32"/>
        <v>0</v>
      </c>
      <c r="AK79" s="1585">
        <f t="shared" si="33"/>
        <v>0</v>
      </c>
      <c r="AM79" s="1944" t="s">
        <v>163</v>
      </c>
      <c r="AN79" s="1922">
        <f t="shared" si="38"/>
        <v>0</v>
      </c>
      <c r="AO79" s="858">
        <f t="shared" si="39"/>
        <v>0</v>
      </c>
      <c r="AP79" s="1921" t="str">
        <f t="shared" si="40"/>
        <v>морковь</v>
      </c>
      <c r="AQ79" s="1922">
        <f t="shared" si="41"/>
        <v>114.86</v>
      </c>
      <c r="AR79" s="856">
        <f t="shared" si="42"/>
        <v>92.1</v>
      </c>
      <c r="AV79" s="62"/>
      <c r="AX79" s="62"/>
      <c r="AZ79" s="786"/>
      <c r="BB79" s="62"/>
      <c r="BD79" s="62"/>
    </row>
    <row r="80" spans="2:57" ht="15.75" thickBot="1">
      <c r="B80" s="338" t="s">
        <v>10</v>
      </c>
      <c r="C80" s="241" t="s">
        <v>11</v>
      </c>
      <c r="D80" s="239">
        <v>60</v>
      </c>
      <c r="E80" s="270" t="s">
        <v>79</v>
      </c>
      <c r="F80" s="234">
        <v>25</v>
      </c>
      <c r="G80" s="308">
        <v>20</v>
      </c>
      <c r="H80" s="263" t="s">
        <v>118</v>
      </c>
      <c r="I80" s="97" t="s">
        <v>119</v>
      </c>
      <c r="J80" s="406" t="s">
        <v>120</v>
      </c>
      <c r="K80" s="192" t="s">
        <v>94</v>
      </c>
      <c r="L80" s="233">
        <v>190</v>
      </c>
      <c r="M80" s="247">
        <v>190</v>
      </c>
      <c r="O80" s="556" t="s">
        <v>895</v>
      </c>
      <c r="P80" s="1724">
        <f t="shared" ref="P80:U80" si="46">AB90</f>
        <v>110</v>
      </c>
      <c r="Q80" s="1585">
        <f t="shared" si="46"/>
        <v>94.8</v>
      </c>
      <c r="R80" s="1724">
        <f t="shared" si="46"/>
        <v>0</v>
      </c>
      <c r="S80" s="1605">
        <f t="shared" si="46"/>
        <v>0</v>
      </c>
      <c r="T80" s="1724">
        <f t="shared" si="46"/>
        <v>0</v>
      </c>
      <c r="U80" s="1585">
        <f t="shared" si="46"/>
        <v>0</v>
      </c>
      <c r="V80" s="1724">
        <f t="shared" si="34"/>
        <v>110</v>
      </c>
      <c r="W80" s="1605">
        <f t="shared" si="35"/>
        <v>94.8</v>
      </c>
      <c r="X80" s="1724">
        <f t="shared" si="36"/>
        <v>0</v>
      </c>
      <c r="Y80" s="1585">
        <f t="shared" si="37"/>
        <v>0</v>
      </c>
      <c r="AA80" s="2040" t="s">
        <v>156</v>
      </c>
      <c r="AB80" s="444"/>
      <c r="AC80" s="1960"/>
      <c r="AD80" s="1789"/>
      <c r="AE80" s="1598"/>
      <c r="AF80" s="1789"/>
      <c r="AG80" s="1681"/>
      <c r="AH80" s="1789">
        <f t="shared" si="30"/>
        <v>0</v>
      </c>
      <c r="AI80" s="1586">
        <f t="shared" si="31"/>
        <v>0</v>
      </c>
      <c r="AJ80" s="1789">
        <f t="shared" si="32"/>
        <v>0</v>
      </c>
      <c r="AK80" s="1585">
        <f t="shared" si="33"/>
        <v>0</v>
      </c>
      <c r="AM80" s="560" t="s">
        <v>895</v>
      </c>
      <c r="AN80" s="1922">
        <f>P80+R80+T80</f>
        <v>110</v>
      </c>
      <c r="AO80" s="858">
        <f>Q80+S80+U80</f>
        <v>94.8</v>
      </c>
      <c r="AP80" s="1921" t="str">
        <f t="shared" si="40"/>
        <v>свекла</v>
      </c>
      <c r="AQ80" s="1922">
        <f t="shared" si="41"/>
        <v>0</v>
      </c>
      <c r="AR80" s="856">
        <f t="shared" si="42"/>
        <v>0</v>
      </c>
      <c r="AV80" s="62"/>
      <c r="AX80" s="62"/>
      <c r="AZ80" s="786"/>
      <c r="BB80" s="62"/>
      <c r="BD80" s="62"/>
    </row>
    <row r="81" spans="2:57" ht="15.75" thickBot="1">
      <c r="B81" s="338" t="s">
        <v>10</v>
      </c>
      <c r="C81" s="241" t="s">
        <v>792</v>
      </c>
      <c r="D81" s="239">
        <v>40</v>
      </c>
      <c r="E81" s="270" t="s">
        <v>112</v>
      </c>
      <c r="F81" s="234">
        <v>2.5</v>
      </c>
      <c r="G81" s="308">
        <v>2.5</v>
      </c>
      <c r="H81" s="324" t="s">
        <v>189</v>
      </c>
      <c r="I81" s="325">
        <v>76.7</v>
      </c>
      <c r="J81" s="408">
        <v>65</v>
      </c>
      <c r="K81" s="4"/>
      <c r="L81" s="8"/>
      <c r="M81" s="865"/>
      <c r="O81" s="1613" t="s">
        <v>894</v>
      </c>
      <c r="P81" s="1724">
        <f t="shared" ref="P81:U81" si="47">AB94</f>
        <v>0</v>
      </c>
      <c r="Q81" s="1605">
        <f t="shared" si="47"/>
        <v>0</v>
      </c>
      <c r="R81" s="1724">
        <f t="shared" si="47"/>
        <v>66.795000000000002</v>
      </c>
      <c r="S81" s="1605">
        <f t="shared" si="47"/>
        <v>59.34</v>
      </c>
      <c r="T81" s="1724">
        <f t="shared" si="47"/>
        <v>0</v>
      </c>
      <c r="U81" s="1605">
        <f t="shared" si="47"/>
        <v>0</v>
      </c>
      <c r="V81" s="1724">
        <f t="shared" si="34"/>
        <v>66.795000000000002</v>
      </c>
      <c r="W81" s="1605">
        <f t="shared" si="35"/>
        <v>59.34</v>
      </c>
      <c r="X81" s="1724">
        <f t="shared" si="36"/>
        <v>66.795000000000002</v>
      </c>
      <c r="Y81" s="1585">
        <f t="shared" si="37"/>
        <v>59.34</v>
      </c>
      <c r="AA81" s="2042" t="s">
        <v>209</v>
      </c>
      <c r="AB81" s="1212"/>
      <c r="AC81" s="2043"/>
      <c r="AD81" s="1812"/>
      <c r="AE81" s="2044"/>
      <c r="AF81" s="1812"/>
      <c r="AG81" s="2045"/>
      <c r="AH81" s="1812">
        <f t="shared" si="30"/>
        <v>0</v>
      </c>
      <c r="AI81" s="2023">
        <f t="shared" si="31"/>
        <v>0</v>
      </c>
      <c r="AJ81" s="1812">
        <f t="shared" si="32"/>
        <v>0</v>
      </c>
      <c r="AK81" s="1813">
        <f t="shared" si="33"/>
        <v>0</v>
      </c>
      <c r="AM81" s="1944" t="s">
        <v>894</v>
      </c>
      <c r="AN81" s="1922">
        <f t="shared" si="38"/>
        <v>66.795000000000002</v>
      </c>
      <c r="AO81" s="858">
        <f t="shared" si="39"/>
        <v>59.34</v>
      </c>
      <c r="AP81" s="1921" t="str">
        <f t="shared" si="40"/>
        <v>помидор св.</v>
      </c>
      <c r="AQ81" s="1922">
        <f t="shared" si="41"/>
        <v>87.91</v>
      </c>
      <c r="AR81" s="856">
        <f t="shared" si="42"/>
        <v>74.5</v>
      </c>
      <c r="AV81" s="62"/>
      <c r="AX81" s="62"/>
      <c r="AZ81" s="786"/>
      <c r="BB81" s="62"/>
      <c r="BD81" s="62"/>
    </row>
    <row r="82" spans="2:57" ht="13.5" customHeight="1" thickBot="1">
      <c r="B82" s="61"/>
      <c r="C82" s="1201"/>
      <c r="D82" s="71"/>
      <c r="H82" s="513"/>
      <c r="I82" s="184"/>
      <c r="J82" s="165"/>
      <c r="K82" s="810" t="s">
        <v>619</v>
      </c>
      <c r="L82" s="278"/>
      <c r="M82" s="50"/>
      <c r="O82" s="1613" t="s">
        <v>150</v>
      </c>
      <c r="P82" s="1724"/>
      <c r="Q82" s="1585"/>
      <c r="R82" s="1724"/>
      <c r="S82" s="1585"/>
      <c r="T82" s="1724"/>
      <c r="U82" s="1585"/>
      <c r="V82" s="1724">
        <f t="shared" si="34"/>
        <v>0</v>
      </c>
      <c r="W82" s="1605">
        <f t="shared" si="35"/>
        <v>0</v>
      </c>
      <c r="X82" s="1724">
        <f t="shared" si="36"/>
        <v>0</v>
      </c>
      <c r="Y82" s="1585">
        <f t="shared" si="37"/>
        <v>0</v>
      </c>
      <c r="AA82" s="2013" t="s">
        <v>96</v>
      </c>
      <c r="AB82" s="1963">
        <f t="shared" ref="AB82:AG82" si="48">SUM(AB67:AB81)</f>
        <v>118.6</v>
      </c>
      <c r="AC82" s="2033">
        <f t="shared" si="48"/>
        <v>99.5</v>
      </c>
      <c r="AD82" s="1964">
        <f t="shared" si="48"/>
        <v>121.01000000000002</v>
      </c>
      <c r="AE82" s="2012">
        <f t="shared" si="48"/>
        <v>101.1</v>
      </c>
      <c r="AF82" s="1964">
        <f t="shared" si="48"/>
        <v>21.16</v>
      </c>
      <c r="AG82" s="2012">
        <f t="shared" si="48"/>
        <v>17.100000000000001</v>
      </c>
      <c r="AH82" s="1964">
        <f>AB82+AD82</f>
        <v>239.61</v>
      </c>
      <c r="AI82" s="2015">
        <f t="shared" si="31"/>
        <v>200.6</v>
      </c>
      <c r="AJ82" s="1964">
        <f>AD82+AF82</f>
        <v>142.17000000000002</v>
      </c>
      <c r="AK82" s="1717">
        <f t="shared" si="33"/>
        <v>118.19999999999999</v>
      </c>
      <c r="AM82" s="1944" t="s">
        <v>150</v>
      </c>
      <c r="AN82" s="1922">
        <f t="shared" si="38"/>
        <v>0</v>
      </c>
      <c r="AO82" s="858">
        <f t="shared" si="39"/>
        <v>0</v>
      </c>
      <c r="AP82" s="1921" t="str">
        <f t="shared" si="40"/>
        <v>огурец свежий</v>
      </c>
      <c r="AQ82" s="1922">
        <f t="shared" si="41"/>
        <v>0</v>
      </c>
      <c r="AR82" s="856">
        <f t="shared" si="42"/>
        <v>0</v>
      </c>
      <c r="AV82" s="62"/>
      <c r="AX82" s="62"/>
      <c r="AZ82" s="786"/>
      <c r="BB82" s="62"/>
      <c r="BD82" s="62"/>
    </row>
    <row r="83" spans="2:57" ht="12.75" customHeight="1" thickBot="1">
      <c r="B83" s="1139" t="s">
        <v>582</v>
      </c>
      <c r="C83" s="1136"/>
      <c r="D83" s="1137">
        <f>D76+D78+D80+D81+60+150</f>
        <v>575</v>
      </c>
      <c r="H83" s="57"/>
      <c r="I83" s="29"/>
      <c r="J83" s="74"/>
      <c r="K83" s="286" t="s">
        <v>118</v>
      </c>
      <c r="L83" s="102" t="s">
        <v>119</v>
      </c>
      <c r="M83" s="133" t="s">
        <v>120</v>
      </c>
      <c r="O83" s="1613" t="s">
        <v>75</v>
      </c>
      <c r="P83" s="1724"/>
      <c r="Q83" s="1585"/>
      <c r="R83" s="1724"/>
      <c r="S83" s="1585"/>
      <c r="T83" s="1724"/>
      <c r="U83" s="1585"/>
      <c r="V83" s="1724">
        <f t="shared" si="34"/>
        <v>0</v>
      </c>
      <c r="W83" s="1605">
        <f t="shared" si="35"/>
        <v>0</v>
      </c>
      <c r="X83" s="1724">
        <f t="shared" si="36"/>
        <v>0</v>
      </c>
      <c r="Y83" s="1585">
        <f t="shared" si="37"/>
        <v>0</v>
      </c>
      <c r="AA83" s="2025" t="s">
        <v>903</v>
      </c>
      <c r="AB83" s="2026"/>
      <c r="AC83" s="2027"/>
      <c r="AD83" s="2028">
        <f>I95</f>
        <v>136.19999999999999</v>
      </c>
      <c r="AE83" s="2029">
        <f>J95</f>
        <v>120</v>
      </c>
      <c r="AF83" s="1788"/>
      <c r="AG83" s="2030"/>
      <c r="AH83" s="1788">
        <f t="shared" ref="AH83:AH102" si="49">AB83+AD83</f>
        <v>136.19999999999999</v>
      </c>
      <c r="AI83" s="2031">
        <f t="shared" si="31"/>
        <v>120</v>
      </c>
      <c r="AJ83" s="1788">
        <f t="shared" ref="AJ83:AJ102" si="50">AD83+AF83</f>
        <v>136.19999999999999</v>
      </c>
      <c r="AK83" s="2032">
        <f t="shared" si="33"/>
        <v>120</v>
      </c>
      <c r="AM83" s="1944" t="s">
        <v>75</v>
      </c>
      <c r="AN83" s="1922">
        <f t="shared" si="38"/>
        <v>0</v>
      </c>
      <c r="AO83" s="858">
        <f t="shared" si="39"/>
        <v>0</v>
      </c>
      <c r="AP83" s="1921" t="str">
        <f t="shared" si="40"/>
        <v xml:space="preserve">огурец солёный </v>
      </c>
      <c r="AQ83" s="1922">
        <f t="shared" si="41"/>
        <v>0</v>
      </c>
      <c r="AR83" s="856">
        <f t="shared" si="42"/>
        <v>0</v>
      </c>
      <c r="AV83" s="62"/>
      <c r="AX83" s="62"/>
      <c r="AZ83" s="786"/>
      <c r="BB83" s="62"/>
      <c r="BD83" s="62"/>
    </row>
    <row r="84" spans="2:57" ht="15.75" thickBot="1">
      <c r="B84" s="403"/>
      <c r="C84" s="162" t="s">
        <v>152</v>
      </c>
      <c r="D84" s="68"/>
      <c r="E84" s="1196" t="s">
        <v>231</v>
      </c>
      <c r="F84" s="68"/>
      <c r="G84" s="54"/>
      <c r="H84" s="761" t="s">
        <v>415</v>
      </c>
      <c r="I84" s="68"/>
      <c r="J84" s="54"/>
      <c r="K84" s="758" t="s">
        <v>79</v>
      </c>
      <c r="L84" s="128">
        <v>56.2</v>
      </c>
      <c r="M84" s="132">
        <v>45</v>
      </c>
      <c r="O84" s="1613" t="s">
        <v>68</v>
      </c>
      <c r="P84" s="1724"/>
      <c r="Q84" s="1931"/>
      <c r="R84" s="1970">
        <f>I90+L95</f>
        <v>255</v>
      </c>
      <c r="S84" s="1931">
        <f>J90+M95</f>
        <v>255</v>
      </c>
      <c r="T84" s="1724">
        <f>L99</f>
        <v>15</v>
      </c>
      <c r="U84" s="1931">
        <f>M99</f>
        <v>15</v>
      </c>
      <c r="V84" s="1724">
        <f t="shared" si="34"/>
        <v>255</v>
      </c>
      <c r="W84" s="1605">
        <f t="shared" si="35"/>
        <v>255</v>
      </c>
      <c r="X84" s="1724">
        <f t="shared" si="36"/>
        <v>270</v>
      </c>
      <c r="Y84" s="1585">
        <f t="shared" si="37"/>
        <v>270</v>
      </c>
      <c r="AA84" s="1874" t="s">
        <v>880</v>
      </c>
      <c r="AB84" s="1782"/>
      <c r="AC84" s="1879"/>
      <c r="AD84" s="444"/>
      <c r="AE84" s="1883"/>
      <c r="AF84" s="1793"/>
      <c r="AG84" s="1887"/>
      <c r="AH84" s="1789">
        <f t="shared" si="49"/>
        <v>0</v>
      </c>
      <c r="AI84" s="1890">
        <f t="shared" si="31"/>
        <v>0</v>
      </c>
      <c r="AJ84" s="1789">
        <f t="shared" si="50"/>
        <v>0</v>
      </c>
      <c r="AK84" s="1893">
        <f t="shared" si="33"/>
        <v>0</v>
      </c>
      <c r="AM84" s="1944" t="s">
        <v>68</v>
      </c>
      <c r="AN84" s="1922">
        <f t="shared" si="38"/>
        <v>270</v>
      </c>
      <c r="AO84" s="858">
        <f>Q84+S84+U84</f>
        <v>270</v>
      </c>
      <c r="AP84" s="1921" t="str">
        <f t="shared" si="40"/>
        <v>перец сладкий</v>
      </c>
      <c r="AQ84" s="1924">
        <f t="shared" si="41"/>
        <v>0</v>
      </c>
      <c r="AR84" s="1712">
        <f t="shared" si="42"/>
        <v>0</v>
      </c>
      <c r="AV84" s="62"/>
      <c r="AX84" s="62"/>
      <c r="AZ84" s="786"/>
      <c r="BB84" s="62"/>
      <c r="BD84" s="62"/>
    </row>
    <row r="85" spans="2:57" ht="15.75" thickBot="1">
      <c r="B85" s="1180" t="s">
        <v>631</v>
      </c>
      <c r="C85" s="241" t="s">
        <v>619</v>
      </c>
      <c r="D85" s="284">
        <v>60</v>
      </c>
      <c r="E85" s="263" t="s">
        <v>118</v>
      </c>
      <c r="F85" s="97" t="s">
        <v>119</v>
      </c>
      <c r="G85" s="135" t="s">
        <v>120</v>
      </c>
      <c r="H85" s="281" t="s">
        <v>118</v>
      </c>
      <c r="I85" s="97" t="s">
        <v>119</v>
      </c>
      <c r="J85" s="135" t="s">
        <v>120</v>
      </c>
      <c r="K85" s="186" t="s">
        <v>112</v>
      </c>
      <c r="L85" s="331">
        <v>16.8</v>
      </c>
      <c r="M85" s="236">
        <v>16.8</v>
      </c>
      <c r="O85" s="1613" t="s">
        <v>170</v>
      </c>
      <c r="P85" s="1724"/>
      <c r="Q85" s="1585"/>
      <c r="R85" s="1724"/>
      <c r="S85" s="1585"/>
      <c r="T85" s="1724">
        <f>F99</f>
        <v>207</v>
      </c>
      <c r="U85" s="1585">
        <f>G99</f>
        <v>200</v>
      </c>
      <c r="V85" s="1724">
        <f t="shared" si="34"/>
        <v>0</v>
      </c>
      <c r="W85" s="1605">
        <f t="shared" si="35"/>
        <v>0</v>
      </c>
      <c r="X85" s="1724">
        <f t="shared" si="36"/>
        <v>207</v>
      </c>
      <c r="Y85" s="1585">
        <f t="shared" si="37"/>
        <v>200</v>
      </c>
      <c r="AA85" s="1875" t="s">
        <v>881</v>
      </c>
      <c r="AB85" s="1782"/>
      <c r="AC85" s="1879"/>
      <c r="AD85" s="444"/>
      <c r="AE85" s="1883"/>
      <c r="AF85" s="1789"/>
      <c r="AG85" s="1887"/>
      <c r="AH85" s="1789">
        <f t="shared" si="49"/>
        <v>0</v>
      </c>
      <c r="AI85" s="1890">
        <f t="shared" si="31"/>
        <v>0</v>
      </c>
      <c r="AJ85" s="1789">
        <f t="shared" si="50"/>
        <v>0</v>
      </c>
      <c r="AK85" s="1893">
        <f t="shared" si="33"/>
        <v>0</v>
      </c>
      <c r="AM85" s="1944" t="s">
        <v>170</v>
      </c>
      <c r="AN85" s="1922">
        <f t="shared" si="38"/>
        <v>207</v>
      </c>
      <c r="AO85" s="858">
        <f t="shared" si="39"/>
        <v>200</v>
      </c>
      <c r="AP85" s="1923" t="s">
        <v>96</v>
      </c>
      <c r="AQ85" s="1925">
        <f>AB82+AD82+AF82</f>
        <v>260.77000000000004</v>
      </c>
      <c r="AR85" s="1926">
        <f t="shared" si="42"/>
        <v>217.7</v>
      </c>
      <c r="AV85" s="62"/>
      <c r="AX85" s="62"/>
      <c r="AZ85" s="786"/>
      <c r="BB85" s="62"/>
      <c r="BD85" s="62"/>
    </row>
    <row r="86" spans="2:57" ht="12.75" customHeight="1" thickBot="1">
      <c r="B86" s="1523" t="s">
        <v>819</v>
      </c>
      <c r="C86" s="241" t="s">
        <v>185</v>
      </c>
      <c r="D86" s="1188">
        <v>250</v>
      </c>
      <c r="E86" s="100" t="s">
        <v>123</v>
      </c>
      <c r="F86" s="177">
        <v>20.9</v>
      </c>
      <c r="G86" s="264">
        <v>20.9</v>
      </c>
      <c r="H86" s="100" t="s">
        <v>531</v>
      </c>
      <c r="I86" s="888">
        <v>63.85</v>
      </c>
      <c r="J86" s="132">
        <v>56.84</v>
      </c>
      <c r="K86" s="185" t="s">
        <v>221</v>
      </c>
      <c r="L86" s="256">
        <v>13.5</v>
      </c>
      <c r="M86" s="257">
        <v>10.8</v>
      </c>
      <c r="O86" s="1613" t="s">
        <v>73</v>
      </c>
      <c r="P86" s="1724"/>
      <c r="Q86" s="1585"/>
      <c r="R86" s="1724"/>
      <c r="S86" s="1585"/>
      <c r="T86" s="1724"/>
      <c r="U86" s="1585"/>
      <c r="V86" s="1724">
        <f t="shared" si="34"/>
        <v>0</v>
      </c>
      <c r="W86" s="1605">
        <f t="shared" si="35"/>
        <v>0</v>
      </c>
      <c r="X86" s="1724">
        <f t="shared" si="36"/>
        <v>0</v>
      </c>
      <c r="Y86" s="1585">
        <f t="shared" si="37"/>
        <v>0</v>
      </c>
      <c r="AA86" s="1876" t="s">
        <v>882</v>
      </c>
      <c r="AB86" s="1783"/>
      <c r="AC86" s="1880"/>
      <c r="AD86" s="1779"/>
      <c r="AE86" s="1884"/>
      <c r="AF86" s="1790"/>
      <c r="AG86" s="1888"/>
      <c r="AH86" s="1790">
        <f t="shared" si="49"/>
        <v>0</v>
      </c>
      <c r="AI86" s="1891"/>
      <c r="AJ86" s="1790">
        <f t="shared" si="50"/>
        <v>0</v>
      </c>
      <c r="AK86" s="1894"/>
      <c r="AM86" s="1944" t="s">
        <v>73</v>
      </c>
      <c r="AN86" s="1922">
        <f t="shared" si="38"/>
        <v>0</v>
      </c>
      <c r="AO86" s="858">
        <f t="shared" si="39"/>
        <v>0</v>
      </c>
      <c r="AP86" s="1713" t="s">
        <v>166</v>
      </c>
      <c r="AQ86" s="1839"/>
      <c r="AR86" s="1715"/>
      <c r="AV86" s="62"/>
      <c r="AX86" s="62"/>
      <c r="AZ86" s="786"/>
      <c r="BB86" s="62"/>
      <c r="BD86" s="62"/>
      <c r="BE86" s="1570"/>
    </row>
    <row r="87" spans="2:57" ht="13.5" customHeight="1" thickBot="1">
      <c r="B87" s="1523" t="s">
        <v>820</v>
      </c>
      <c r="C87" s="283" t="s">
        <v>415</v>
      </c>
      <c r="D87" s="284">
        <v>190</v>
      </c>
      <c r="E87" s="185" t="s">
        <v>79</v>
      </c>
      <c r="F87" s="256">
        <v>12.5</v>
      </c>
      <c r="G87" s="257">
        <v>10</v>
      </c>
      <c r="H87" s="186" t="s">
        <v>193</v>
      </c>
      <c r="I87" s="233">
        <v>11.21</v>
      </c>
      <c r="J87" s="235">
        <v>9.5</v>
      </c>
      <c r="K87" s="270" t="s">
        <v>103</v>
      </c>
      <c r="L87" s="234">
        <v>4.8</v>
      </c>
      <c r="M87" s="269">
        <v>4.8</v>
      </c>
      <c r="O87" s="1613" t="s">
        <v>54</v>
      </c>
      <c r="P87" s="1724"/>
      <c r="Q87" s="1585"/>
      <c r="R87" s="1966">
        <f>I88</f>
        <v>18.234999999999999</v>
      </c>
      <c r="S87" s="1585">
        <f>J88</f>
        <v>17.5</v>
      </c>
      <c r="T87" s="1724"/>
      <c r="U87" s="1585"/>
      <c r="V87" s="1724">
        <f t="shared" si="34"/>
        <v>18.234999999999999</v>
      </c>
      <c r="W87" s="1605">
        <f t="shared" si="35"/>
        <v>17.5</v>
      </c>
      <c r="X87" s="1724">
        <f t="shared" si="36"/>
        <v>18.234999999999999</v>
      </c>
      <c r="Y87" s="1585">
        <f t="shared" si="37"/>
        <v>17.5</v>
      </c>
      <c r="AA87" s="1877" t="s">
        <v>883</v>
      </c>
      <c r="AB87" s="1896">
        <f>SUM(AB83:AB86)</f>
        <v>0</v>
      </c>
      <c r="AC87" s="1881">
        <f>AC83+AC84+AC85+AC86</f>
        <v>0</v>
      </c>
      <c r="AD87" s="1968">
        <f>AD83+AD84+AD85+AD86</f>
        <v>136.19999999999999</v>
      </c>
      <c r="AE87" s="1885">
        <f>AE83+AE84+AE85+AE86</f>
        <v>120</v>
      </c>
      <c r="AF87" s="1898">
        <f>SUM(AF83:AF86)</f>
        <v>0</v>
      </c>
      <c r="AG87" s="1889">
        <f>SUM(AG83:AG86)</f>
        <v>0</v>
      </c>
      <c r="AH87" s="1898">
        <f t="shared" si="49"/>
        <v>136.19999999999999</v>
      </c>
      <c r="AI87" s="1892">
        <f>AC87+AE87</f>
        <v>120</v>
      </c>
      <c r="AJ87" s="1898">
        <f t="shared" si="50"/>
        <v>136.19999999999999</v>
      </c>
      <c r="AK87" s="1895">
        <f>AE87+AG87</f>
        <v>120</v>
      </c>
      <c r="AM87" s="1944" t="s">
        <v>54</v>
      </c>
      <c r="AN87" s="1922">
        <f t="shared" si="38"/>
        <v>18.234999999999999</v>
      </c>
      <c r="AO87" s="858">
        <f t="shared" si="39"/>
        <v>17.5</v>
      </c>
      <c r="AP87" s="1659" t="s">
        <v>878</v>
      </c>
      <c r="AQ87" s="1830"/>
      <c r="AR87" s="71"/>
      <c r="AV87" s="62"/>
      <c r="AX87" s="62"/>
      <c r="AY87" s="1570"/>
      <c r="AZ87" s="786"/>
      <c r="BA87" s="1570"/>
      <c r="BB87" s="62"/>
      <c r="BC87" s="282"/>
      <c r="BD87" s="62"/>
      <c r="BE87" s="1570"/>
    </row>
    <row r="88" spans="2:57" ht="14.25" customHeight="1">
      <c r="B88" s="1524" t="s">
        <v>821</v>
      </c>
      <c r="C88" s="283" t="s">
        <v>339</v>
      </c>
      <c r="D88" s="284">
        <v>200</v>
      </c>
      <c r="E88" s="185" t="s">
        <v>221</v>
      </c>
      <c r="F88" s="256">
        <v>10.8</v>
      </c>
      <c r="G88" s="257">
        <v>9</v>
      </c>
      <c r="H88" s="185" t="s">
        <v>178</v>
      </c>
      <c r="I88" s="331">
        <v>18.234999999999999</v>
      </c>
      <c r="J88" s="236">
        <v>17.5</v>
      </c>
      <c r="K88" s="1186" t="s">
        <v>632</v>
      </c>
      <c r="L88" s="8">
        <v>0.7</v>
      </c>
      <c r="M88" s="1187">
        <v>0.7</v>
      </c>
      <c r="O88" s="1613" t="s">
        <v>78</v>
      </c>
      <c r="P88" s="1724"/>
      <c r="Q88" s="1585"/>
      <c r="R88" s="1724"/>
      <c r="S88" s="1585"/>
      <c r="T88" s="1724"/>
      <c r="U88" s="1585"/>
      <c r="V88" s="1724">
        <f t="shared" si="34"/>
        <v>0</v>
      </c>
      <c r="W88" s="1605">
        <f t="shared" si="35"/>
        <v>0</v>
      </c>
      <c r="X88" s="1724">
        <f t="shared" si="36"/>
        <v>0</v>
      </c>
      <c r="Y88" s="1585">
        <f t="shared" si="37"/>
        <v>0</v>
      </c>
      <c r="AA88" s="1702" t="s">
        <v>896</v>
      </c>
      <c r="AB88" s="1784">
        <f>F76</f>
        <v>110</v>
      </c>
      <c r="AC88" s="1703">
        <f>G76</f>
        <v>94.8</v>
      </c>
      <c r="AD88" s="1788"/>
      <c r="AE88" s="1704"/>
      <c r="AF88" s="1784"/>
      <c r="AG88" s="1703"/>
      <c r="AH88" s="1788">
        <f t="shared" ref="AH88:AH94" si="51">AB88+AD88</f>
        <v>110</v>
      </c>
      <c r="AI88" s="1769">
        <f>AC88+AE88</f>
        <v>94.8</v>
      </c>
      <c r="AJ88" s="1788">
        <f t="shared" ref="AJ88:AJ94" si="52">AD88+AF88</f>
        <v>0</v>
      </c>
      <c r="AK88" s="1806">
        <f>AE88+AG88</f>
        <v>0</v>
      </c>
      <c r="AM88" s="1944" t="s">
        <v>78</v>
      </c>
      <c r="AN88" s="1922">
        <f t="shared" si="38"/>
        <v>0</v>
      </c>
      <c r="AO88" s="858">
        <f t="shared" si="39"/>
        <v>0</v>
      </c>
      <c r="AP88" s="1660" t="s">
        <v>879</v>
      </c>
      <c r="AQ88" s="1840">
        <f t="shared" ref="AQ88:AQ108" si="53">AB83+AD83+AF83</f>
        <v>136.19999999999999</v>
      </c>
      <c r="AR88" s="1667">
        <f t="shared" ref="AR88:AR108" si="54">AC83+AE83+AG83</f>
        <v>120</v>
      </c>
      <c r="AU88" s="9"/>
      <c r="AV88" s="62"/>
      <c r="AW88" s="855"/>
      <c r="AX88" s="62"/>
      <c r="AY88" s="1570"/>
      <c r="AZ88" s="786"/>
      <c r="BA88" s="1570"/>
      <c r="BB88" s="62"/>
      <c r="BC88" s="1908"/>
      <c r="BD88" s="62"/>
      <c r="BE88" s="1570"/>
    </row>
    <row r="89" spans="2:57" ht="14.25" customHeight="1" thickBot="1">
      <c r="B89" s="246" t="s">
        <v>10</v>
      </c>
      <c r="C89" s="241" t="s">
        <v>11</v>
      </c>
      <c r="D89" s="284">
        <v>70</v>
      </c>
      <c r="E89" s="185" t="s">
        <v>95</v>
      </c>
      <c r="F89" s="256">
        <v>5</v>
      </c>
      <c r="G89" s="257">
        <v>5</v>
      </c>
      <c r="H89" s="185" t="s">
        <v>225</v>
      </c>
      <c r="I89" s="271" t="s">
        <v>979</v>
      </c>
      <c r="J89" s="236">
        <v>117.28</v>
      </c>
      <c r="K89" s="270" t="s">
        <v>633</v>
      </c>
      <c r="L89" s="234">
        <v>0.3</v>
      </c>
      <c r="M89" s="269">
        <v>0.3</v>
      </c>
      <c r="O89" s="1613" t="s">
        <v>95</v>
      </c>
      <c r="P89" s="1724"/>
      <c r="Q89" s="1605"/>
      <c r="R89" s="1724">
        <f>F89+I92</f>
        <v>10</v>
      </c>
      <c r="S89" s="1605">
        <f>G89+J92</f>
        <v>10</v>
      </c>
      <c r="T89" s="1724">
        <f>I102+L100</f>
        <v>3.1500000000000004</v>
      </c>
      <c r="U89" s="1605">
        <f>J102+M100</f>
        <v>3.1500000000000004</v>
      </c>
      <c r="V89" s="1724">
        <f t="shared" si="34"/>
        <v>10</v>
      </c>
      <c r="W89" s="1605">
        <f t="shared" si="35"/>
        <v>10</v>
      </c>
      <c r="X89" s="1724">
        <f t="shared" si="36"/>
        <v>13.15</v>
      </c>
      <c r="Y89" s="1585">
        <f t="shared" si="37"/>
        <v>13.15</v>
      </c>
      <c r="AA89" s="1692" t="s">
        <v>897</v>
      </c>
      <c r="AB89" s="1783"/>
      <c r="AC89" s="1693"/>
      <c r="AD89" s="1790"/>
      <c r="AE89" s="1694"/>
      <c r="AF89" s="1783"/>
      <c r="AG89" s="1693"/>
      <c r="AH89" s="1790">
        <f t="shared" si="51"/>
        <v>0</v>
      </c>
      <c r="AI89" s="1770">
        <f>AC89+AE89</f>
        <v>0</v>
      </c>
      <c r="AJ89" s="1790">
        <f t="shared" si="52"/>
        <v>0</v>
      </c>
      <c r="AK89" s="1807">
        <f>AE89+AG89</f>
        <v>0</v>
      </c>
      <c r="AM89" s="1944" t="s">
        <v>95</v>
      </c>
      <c r="AN89" s="1922">
        <f t="shared" si="38"/>
        <v>13.15</v>
      </c>
      <c r="AO89" s="858">
        <f t="shared" si="39"/>
        <v>13.15</v>
      </c>
      <c r="AP89" s="1661" t="s">
        <v>880</v>
      </c>
      <c r="AQ89" s="1840">
        <f t="shared" si="53"/>
        <v>0</v>
      </c>
      <c r="AR89" s="1667">
        <f t="shared" si="54"/>
        <v>0</v>
      </c>
      <c r="AU89" s="48"/>
      <c r="AV89" s="62"/>
      <c r="AX89" s="62"/>
      <c r="AY89" s="1570"/>
      <c r="AZ89" s="786"/>
      <c r="BA89" s="1570"/>
      <c r="BB89" s="62"/>
      <c r="BC89" s="1909"/>
      <c r="BD89" s="62"/>
      <c r="BE89" s="1570"/>
    </row>
    <row r="90" spans="2:57" ht="12.75" customHeight="1" thickBot="1">
      <c r="B90" s="246" t="s">
        <v>10</v>
      </c>
      <c r="C90" s="241" t="s">
        <v>792</v>
      </c>
      <c r="D90" s="284">
        <v>50</v>
      </c>
      <c r="E90" s="270" t="s">
        <v>97</v>
      </c>
      <c r="F90" s="272">
        <v>1.1000000000000001</v>
      </c>
      <c r="G90" s="273">
        <v>1.1000000000000001</v>
      </c>
      <c r="H90" s="185" t="s">
        <v>93</v>
      </c>
      <c r="I90" s="233">
        <v>40</v>
      </c>
      <c r="J90" s="236">
        <v>40</v>
      </c>
      <c r="K90" s="195" t="s">
        <v>61</v>
      </c>
      <c r="L90" s="277">
        <v>0.2</v>
      </c>
      <c r="M90" s="290">
        <v>0.2</v>
      </c>
      <c r="O90" s="1613" t="s">
        <v>103</v>
      </c>
      <c r="P90" s="1724">
        <f>F78</f>
        <v>8</v>
      </c>
      <c r="Q90" s="1585">
        <f>G78</f>
        <v>8</v>
      </c>
      <c r="R90" s="1724">
        <f>L87</f>
        <v>4.8</v>
      </c>
      <c r="S90" s="1585">
        <f>M87</f>
        <v>4.8</v>
      </c>
      <c r="T90" s="1724">
        <f>I106</f>
        <v>4.2</v>
      </c>
      <c r="U90" s="1585">
        <f>J106</f>
        <v>4.2</v>
      </c>
      <c r="V90" s="1724">
        <f t="shared" si="34"/>
        <v>12.8</v>
      </c>
      <c r="W90" s="1605">
        <f t="shared" si="35"/>
        <v>12.8</v>
      </c>
      <c r="X90" s="1724">
        <f t="shared" si="36"/>
        <v>9</v>
      </c>
      <c r="Y90" s="1585">
        <f t="shared" si="37"/>
        <v>9</v>
      </c>
      <c r="AA90" s="1721" t="s">
        <v>876</v>
      </c>
      <c r="AB90" s="1867">
        <f t="shared" ref="AB90:AG90" si="55">SUM(AB88:AB89)</f>
        <v>110</v>
      </c>
      <c r="AC90" s="1866">
        <f t="shared" si="55"/>
        <v>94.8</v>
      </c>
      <c r="AD90" s="1865">
        <f t="shared" si="55"/>
        <v>0</v>
      </c>
      <c r="AE90" s="1698">
        <f t="shared" si="55"/>
        <v>0</v>
      </c>
      <c r="AF90" s="1867">
        <f t="shared" si="55"/>
        <v>0</v>
      </c>
      <c r="AG90" s="1866">
        <f t="shared" si="55"/>
        <v>0</v>
      </c>
      <c r="AH90" s="1796">
        <f t="shared" si="51"/>
        <v>110</v>
      </c>
      <c r="AI90" s="1771">
        <f>AC90+AE90</f>
        <v>94.8</v>
      </c>
      <c r="AJ90" s="1796">
        <f t="shared" si="52"/>
        <v>0</v>
      </c>
      <c r="AK90" s="1699">
        <f>AE90+AG90</f>
        <v>0</v>
      </c>
      <c r="AM90" s="1944" t="s">
        <v>103</v>
      </c>
      <c r="AN90" s="1922">
        <f t="shared" si="38"/>
        <v>17</v>
      </c>
      <c r="AO90" s="858">
        <f t="shared" si="39"/>
        <v>17</v>
      </c>
      <c r="AP90" s="1662" t="s">
        <v>881</v>
      </c>
      <c r="AQ90" s="1840">
        <f t="shared" si="53"/>
        <v>0</v>
      </c>
      <c r="AR90" s="1667">
        <f t="shared" si="54"/>
        <v>0</v>
      </c>
      <c r="AU90" s="48"/>
      <c r="AV90" s="62"/>
      <c r="AX90" s="62"/>
      <c r="AY90" s="1570"/>
      <c r="AZ90" s="786"/>
      <c r="BA90" s="1570"/>
      <c r="BB90" s="62"/>
      <c r="BC90" s="1909"/>
      <c r="BD90" s="62"/>
      <c r="BE90" s="1570"/>
    </row>
    <row r="91" spans="2:57" ht="13.5" customHeight="1" thickBot="1">
      <c r="B91" s="266" t="s">
        <v>1004</v>
      </c>
      <c r="C91" s="241" t="s">
        <v>1009</v>
      </c>
      <c r="D91" s="284">
        <v>120</v>
      </c>
      <c r="E91" s="185" t="s">
        <v>222</v>
      </c>
      <c r="F91" s="234">
        <v>0.01</v>
      </c>
      <c r="G91" s="269">
        <v>0.01</v>
      </c>
      <c r="H91" s="500" t="s">
        <v>61</v>
      </c>
      <c r="I91" s="251">
        <v>0.4</v>
      </c>
      <c r="J91" s="323">
        <v>0.4</v>
      </c>
      <c r="K91" s="413" t="s">
        <v>126</v>
      </c>
      <c r="L91" s="38"/>
      <c r="M91" s="50"/>
      <c r="O91" s="1613" t="s">
        <v>898</v>
      </c>
      <c r="P91" s="1724"/>
      <c r="Q91" s="1605"/>
      <c r="R91" s="1724">
        <f>S91/1000/0.04</f>
        <v>2.9319999999999999</v>
      </c>
      <c r="S91" s="1605">
        <f>J89</f>
        <v>117.28</v>
      </c>
      <c r="T91" s="1727">
        <f>U91/1000/0.04</f>
        <v>0.04</v>
      </c>
      <c r="U91" s="1605">
        <f>J103</f>
        <v>1.6</v>
      </c>
      <c r="V91" s="1724">
        <f t="shared" si="34"/>
        <v>2.9319999999999999</v>
      </c>
      <c r="W91" s="1605">
        <f t="shared" si="35"/>
        <v>117.28</v>
      </c>
      <c r="X91" s="1724">
        <f t="shared" si="36"/>
        <v>2.972</v>
      </c>
      <c r="Y91" s="1585">
        <f t="shared" si="37"/>
        <v>118.88</v>
      </c>
      <c r="AA91" s="1843" t="s">
        <v>387</v>
      </c>
      <c r="AB91" s="1900"/>
      <c r="AC91" s="1901"/>
      <c r="AD91" s="1899"/>
      <c r="AE91" s="1846"/>
      <c r="AF91" s="1900"/>
      <c r="AG91" s="1901"/>
      <c r="AH91" s="1788">
        <f t="shared" si="51"/>
        <v>0</v>
      </c>
      <c r="AI91" s="1852"/>
      <c r="AJ91" s="1788">
        <f t="shared" si="52"/>
        <v>0</v>
      </c>
      <c r="AK91" s="1856"/>
      <c r="AM91" s="1944" t="s">
        <v>162</v>
      </c>
      <c r="AN91" s="1922">
        <f t="shared" si="38"/>
        <v>2.972</v>
      </c>
      <c r="AO91" s="858">
        <f t="shared" si="39"/>
        <v>118.88</v>
      </c>
      <c r="AP91" s="1707" t="s">
        <v>882</v>
      </c>
      <c r="AQ91" s="1840">
        <f t="shared" si="53"/>
        <v>0</v>
      </c>
      <c r="AR91" s="1667">
        <f t="shared" si="54"/>
        <v>0</v>
      </c>
      <c r="AU91" s="48"/>
      <c r="AV91" s="62"/>
      <c r="AX91" s="62"/>
      <c r="AY91" s="1570"/>
      <c r="AZ91" s="786"/>
      <c r="BA91" s="1570"/>
      <c r="BB91" s="62"/>
      <c r="BC91" s="1909"/>
      <c r="BD91" s="62"/>
      <c r="BE91" s="1570"/>
    </row>
    <row r="92" spans="2:57" ht="16.5" customHeight="1" thickBot="1">
      <c r="B92" s="61"/>
      <c r="C92" s="999"/>
      <c r="E92" s="1073" t="s">
        <v>975</v>
      </c>
      <c r="F92" s="251">
        <v>237.7</v>
      </c>
      <c r="G92" s="255">
        <v>237.7</v>
      </c>
      <c r="H92" s="1095" t="s">
        <v>95</v>
      </c>
      <c r="I92" s="302">
        <v>5</v>
      </c>
      <c r="J92" s="323">
        <v>5</v>
      </c>
      <c r="K92" s="263" t="s">
        <v>118</v>
      </c>
      <c r="L92" s="97" t="s">
        <v>119</v>
      </c>
      <c r="M92" s="135" t="s">
        <v>120</v>
      </c>
      <c r="O92" s="1613" t="s">
        <v>57</v>
      </c>
      <c r="P92" s="1724">
        <f>L78</f>
        <v>10</v>
      </c>
      <c r="Q92" s="1606">
        <f>M78</f>
        <v>10</v>
      </c>
      <c r="R92" s="1724">
        <f>L88+L94</f>
        <v>20.7</v>
      </c>
      <c r="S92" s="1606">
        <f>M94+M88</f>
        <v>20.7</v>
      </c>
      <c r="T92" s="1724">
        <f>L105</f>
        <v>2.4</v>
      </c>
      <c r="U92" s="1606">
        <f>M105</f>
        <v>2.4</v>
      </c>
      <c r="V92" s="1724">
        <f t="shared" si="34"/>
        <v>30.7</v>
      </c>
      <c r="W92" s="1605">
        <f t="shared" si="35"/>
        <v>30.7</v>
      </c>
      <c r="X92" s="1724">
        <f t="shared" si="36"/>
        <v>23.099999999999998</v>
      </c>
      <c r="Y92" s="1585">
        <f t="shared" si="37"/>
        <v>23.099999999999998</v>
      </c>
      <c r="AA92" s="1844" t="s">
        <v>121</v>
      </c>
      <c r="AB92" s="1902"/>
      <c r="AC92" s="1848"/>
      <c r="AD92" s="1965">
        <f>I86</f>
        <v>63.85</v>
      </c>
      <c r="AE92" s="1904">
        <f>J86</f>
        <v>56.84</v>
      </c>
      <c r="AF92" s="1902"/>
      <c r="AG92" s="1848"/>
      <c r="AH92" s="1789">
        <f t="shared" si="51"/>
        <v>63.85</v>
      </c>
      <c r="AI92" s="1853">
        <f>AC92+AE92</f>
        <v>56.84</v>
      </c>
      <c r="AJ92" s="1789">
        <f t="shared" si="52"/>
        <v>63.85</v>
      </c>
      <c r="AK92" s="1857">
        <f t="shared" ref="AK92:AK103" si="56">AE92+AG92</f>
        <v>56.84</v>
      </c>
      <c r="AM92" s="1944" t="s">
        <v>57</v>
      </c>
      <c r="AN92" s="1922">
        <f t="shared" si="38"/>
        <v>33.1</v>
      </c>
      <c r="AO92" s="858">
        <f t="shared" si="39"/>
        <v>33.1</v>
      </c>
      <c r="AP92" s="1719" t="s">
        <v>883</v>
      </c>
      <c r="AQ92" s="1918">
        <f t="shared" si="53"/>
        <v>136.19999999999999</v>
      </c>
      <c r="AR92" s="1666">
        <f t="shared" si="54"/>
        <v>120</v>
      </c>
      <c r="AU92" s="48"/>
      <c r="AV92" s="62"/>
      <c r="AX92" s="62"/>
      <c r="AY92" s="911"/>
      <c r="AZ92" s="786"/>
      <c r="BA92" s="1570"/>
      <c r="BB92" s="62"/>
      <c r="BC92" s="1909"/>
      <c r="BD92" s="62"/>
      <c r="BE92" s="1570"/>
    </row>
    <row r="93" spans="2:57" ht="15" customHeight="1" thickBot="1">
      <c r="B93" s="61"/>
      <c r="C93" s="999"/>
      <c r="E93" s="186" t="s">
        <v>311</v>
      </c>
      <c r="F93" s="233">
        <v>2.9449999999999998</v>
      </c>
      <c r="G93" s="236">
        <v>2.5</v>
      </c>
      <c r="H93" s="473" t="s">
        <v>1010</v>
      </c>
      <c r="I93" s="38"/>
      <c r="J93" s="50"/>
      <c r="K93" s="1499" t="s">
        <v>126</v>
      </c>
      <c r="L93" s="123">
        <v>4.2</v>
      </c>
      <c r="M93" s="131">
        <v>4.2</v>
      </c>
      <c r="O93" s="1613" t="s">
        <v>171</v>
      </c>
      <c r="P93" s="1724"/>
      <c r="Q93" s="1585"/>
      <c r="R93" s="1724"/>
      <c r="S93" s="1585"/>
      <c r="T93" s="1724"/>
      <c r="U93" s="1585"/>
      <c r="V93" s="1724">
        <f t="shared" si="34"/>
        <v>0</v>
      </c>
      <c r="W93" s="1605">
        <f t="shared" si="35"/>
        <v>0</v>
      </c>
      <c r="X93" s="1724">
        <f t="shared" si="36"/>
        <v>0</v>
      </c>
      <c r="Y93" s="1585">
        <f t="shared" si="37"/>
        <v>0</v>
      </c>
      <c r="AA93" s="1845" t="s">
        <v>388</v>
      </c>
      <c r="AB93" s="1903"/>
      <c r="AC93" s="1868"/>
      <c r="AD93" s="1870">
        <f>F93</f>
        <v>2.9449999999999998</v>
      </c>
      <c r="AE93" s="1905">
        <f>G93</f>
        <v>2.5</v>
      </c>
      <c r="AF93" s="1903"/>
      <c r="AG93" s="1868"/>
      <c r="AH93" s="1790">
        <f t="shared" si="51"/>
        <v>2.9449999999999998</v>
      </c>
      <c r="AI93" s="1854">
        <f>AC93+AE93</f>
        <v>2.5</v>
      </c>
      <c r="AJ93" s="1790">
        <f t="shared" si="52"/>
        <v>2.9449999999999998</v>
      </c>
      <c r="AK93" s="1858">
        <f t="shared" si="56"/>
        <v>2.5</v>
      </c>
      <c r="AM93" s="1944" t="s">
        <v>171</v>
      </c>
      <c r="AN93" s="1922">
        <f t="shared" si="38"/>
        <v>0</v>
      </c>
      <c r="AO93" s="858">
        <f t="shared" si="39"/>
        <v>0</v>
      </c>
      <c r="AP93" s="1702" t="s">
        <v>389</v>
      </c>
      <c r="AQ93" s="1839">
        <f t="shared" si="53"/>
        <v>110</v>
      </c>
      <c r="AR93" s="1708">
        <f t="shared" si="54"/>
        <v>94.8</v>
      </c>
      <c r="AU93" s="48"/>
      <c r="AV93" s="62"/>
      <c r="AX93" s="62"/>
      <c r="AY93" s="1570"/>
      <c r="AZ93" s="786"/>
      <c r="BA93" s="1570"/>
      <c r="BB93" s="62"/>
      <c r="BC93" s="1909"/>
      <c r="BD93" s="62"/>
      <c r="BE93" s="1570"/>
    </row>
    <row r="94" spans="2:57" ht="14.25" customHeight="1" thickBot="1">
      <c r="B94" s="61"/>
      <c r="C94" s="999"/>
      <c r="E94" s="61"/>
      <c r="G94" s="71"/>
      <c r="H94" s="263" t="s">
        <v>118</v>
      </c>
      <c r="I94" s="97" t="s">
        <v>119</v>
      </c>
      <c r="J94" s="135" t="s">
        <v>120</v>
      </c>
      <c r="K94" s="249" t="s">
        <v>57</v>
      </c>
      <c r="L94" s="251">
        <v>20</v>
      </c>
      <c r="M94" s="255">
        <v>20</v>
      </c>
      <c r="O94" s="1613" t="s">
        <v>59</v>
      </c>
      <c r="P94" s="1724"/>
      <c r="Q94" s="1585"/>
      <c r="R94" s="1724"/>
      <c r="S94" s="1585"/>
      <c r="T94" s="1724"/>
      <c r="U94" s="1585"/>
      <c r="V94" s="1724">
        <f t="shared" si="34"/>
        <v>0</v>
      </c>
      <c r="W94" s="1605">
        <f t="shared" si="35"/>
        <v>0</v>
      </c>
      <c r="X94" s="1724">
        <f t="shared" si="36"/>
        <v>0</v>
      </c>
      <c r="Y94" s="1585">
        <f t="shared" si="37"/>
        <v>0</v>
      </c>
      <c r="AA94" s="1850" t="s">
        <v>875</v>
      </c>
      <c r="AB94" s="1871">
        <f t="shared" ref="AB94:AG94" si="57">AB91+AB92+AB93</f>
        <v>0</v>
      </c>
      <c r="AC94" s="1851">
        <f t="shared" si="57"/>
        <v>0</v>
      </c>
      <c r="AD94" s="1871">
        <f t="shared" si="57"/>
        <v>66.795000000000002</v>
      </c>
      <c r="AE94" s="1851">
        <f t="shared" si="57"/>
        <v>59.34</v>
      </c>
      <c r="AF94" s="1871">
        <f t="shared" si="57"/>
        <v>0</v>
      </c>
      <c r="AG94" s="1851">
        <f t="shared" si="57"/>
        <v>0</v>
      </c>
      <c r="AH94" s="1791">
        <f t="shared" si="51"/>
        <v>66.795000000000002</v>
      </c>
      <c r="AI94" s="1855">
        <f>AC94+AE94</f>
        <v>59.34</v>
      </c>
      <c r="AJ94" s="1791">
        <f t="shared" si="52"/>
        <v>66.795000000000002</v>
      </c>
      <c r="AK94" s="1859">
        <f t="shared" si="56"/>
        <v>59.34</v>
      </c>
      <c r="AM94" s="1944" t="s">
        <v>59</v>
      </c>
      <c r="AN94" s="1922">
        <f t="shared" si="38"/>
        <v>0</v>
      </c>
      <c r="AO94" s="858">
        <f t="shared" si="39"/>
        <v>0</v>
      </c>
      <c r="AP94" s="1692" t="s">
        <v>188</v>
      </c>
      <c r="AQ94" s="1839">
        <f t="shared" si="53"/>
        <v>0</v>
      </c>
      <c r="AR94" s="1708">
        <f t="shared" si="54"/>
        <v>0</v>
      </c>
      <c r="AU94" s="4"/>
      <c r="AV94" s="62"/>
      <c r="AX94" s="62"/>
      <c r="AY94" s="1570"/>
      <c r="AZ94" s="786"/>
      <c r="BA94" s="1570"/>
      <c r="BB94" s="62"/>
      <c r="BC94" s="1909"/>
      <c r="BD94" s="62"/>
      <c r="BE94" s="1570"/>
    </row>
    <row r="95" spans="2:57" ht="13.5" customHeight="1" thickBot="1">
      <c r="B95" s="61"/>
      <c r="C95" s="999"/>
      <c r="E95" s="1189"/>
      <c r="F95" s="48"/>
      <c r="G95" s="71"/>
      <c r="H95" s="100" t="s">
        <v>228</v>
      </c>
      <c r="I95" s="2563">
        <v>136.19999999999999</v>
      </c>
      <c r="J95" s="131">
        <v>120</v>
      </c>
      <c r="K95" s="249" t="s">
        <v>68</v>
      </c>
      <c r="L95" s="877">
        <v>215</v>
      </c>
      <c r="M95" s="1500">
        <v>215</v>
      </c>
      <c r="O95" s="1613" t="s">
        <v>169</v>
      </c>
      <c r="P95" s="1724"/>
      <c r="Q95" s="1585"/>
      <c r="R95" s="1724"/>
      <c r="S95" s="1585"/>
      <c r="T95" s="1724"/>
      <c r="U95" s="1585"/>
      <c r="V95" s="1724">
        <f t="shared" si="34"/>
        <v>0</v>
      </c>
      <c r="W95" s="1605">
        <f t="shared" si="35"/>
        <v>0</v>
      </c>
      <c r="X95" s="1724">
        <f t="shared" si="36"/>
        <v>0</v>
      </c>
      <c r="Y95" s="1585">
        <f t="shared" si="37"/>
        <v>0</v>
      </c>
      <c r="AA95" s="1695" t="s">
        <v>904</v>
      </c>
      <c r="AB95" s="1784"/>
      <c r="AC95" s="1696"/>
      <c r="AD95" s="1784"/>
      <c r="AE95" s="1697"/>
      <c r="AF95" s="1784"/>
      <c r="AG95" s="1758"/>
      <c r="AH95" s="1788">
        <f t="shared" si="49"/>
        <v>0</v>
      </c>
      <c r="AI95" s="1772">
        <f>AC95+AE95</f>
        <v>0</v>
      </c>
      <c r="AJ95" s="1788">
        <f t="shared" si="50"/>
        <v>0</v>
      </c>
      <c r="AK95" s="1603">
        <f t="shared" si="56"/>
        <v>0</v>
      </c>
      <c r="AM95" s="1944" t="s">
        <v>169</v>
      </c>
      <c r="AN95" s="1922">
        <f t="shared" si="38"/>
        <v>0</v>
      </c>
      <c r="AO95" s="858">
        <f t="shared" si="39"/>
        <v>0</v>
      </c>
      <c r="AP95" s="1721" t="s">
        <v>876</v>
      </c>
      <c r="AQ95" s="1914">
        <f t="shared" si="53"/>
        <v>110</v>
      </c>
      <c r="AR95" s="1819">
        <f t="shared" si="54"/>
        <v>94.8</v>
      </c>
      <c r="AU95" s="4"/>
      <c r="AV95" s="62"/>
      <c r="AX95" s="62"/>
      <c r="AY95" s="1570"/>
      <c r="AZ95" s="786"/>
      <c r="BA95" s="1570"/>
      <c r="BB95" s="62"/>
      <c r="BC95" s="1909"/>
      <c r="BD95" s="62"/>
      <c r="BE95" s="1570"/>
    </row>
    <row r="96" spans="2:57" ht="12.75" customHeight="1" thickBot="1">
      <c r="B96" s="1139" t="s">
        <v>583</v>
      </c>
      <c r="C96" s="1199"/>
      <c r="D96" s="1137">
        <f>SUM(D85:D91)</f>
        <v>940</v>
      </c>
      <c r="E96" s="57"/>
      <c r="F96" s="29"/>
      <c r="G96" s="74"/>
      <c r="H96" s="57"/>
      <c r="I96" s="29"/>
      <c r="J96" s="74"/>
      <c r="K96" s="249" t="s">
        <v>94</v>
      </c>
      <c r="L96" s="251">
        <v>5</v>
      </c>
      <c r="M96" s="255">
        <v>5</v>
      </c>
      <c r="O96" s="1613" t="s">
        <v>168</v>
      </c>
      <c r="P96" s="1724"/>
      <c r="Q96" s="1585"/>
      <c r="R96" s="1724">
        <f>L93</f>
        <v>4.2</v>
      </c>
      <c r="S96" s="1585">
        <f>M93</f>
        <v>4.2</v>
      </c>
      <c r="T96" s="1724"/>
      <c r="U96" s="1585"/>
      <c r="V96" s="1724">
        <f t="shared" si="34"/>
        <v>4.2</v>
      </c>
      <c r="W96" s="1605">
        <f t="shared" si="35"/>
        <v>4.2</v>
      </c>
      <c r="X96" s="1724">
        <f t="shared" si="36"/>
        <v>4.2</v>
      </c>
      <c r="Y96" s="1585">
        <f t="shared" si="37"/>
        <v>4.2</v>
      </c>
      <c r="AA96" s="1663" t="s">
        <v>81</v>
      </c>
      <c r="AB96" s="1782"/>
      <c r="AC96" s="1599"/>
      <c r="AD96" s="1782"/>
      <c r="AE96" s="1670"/>
      <c r="AF96" s="1782"/>
      <c r="AG96" s="1682"/>
      <c r="AH96" s="1789">
        <f t="shared" si="49"/>
        <v>0</v>
      </c>
      <c r="AI96" s="1772">
        <f t="shared" ref="AI96:AI102" si="58">AC96+AE96</f>
        <v>0</v>
      </c>
      <c r="AJ96" s="1789">
        <f t="shared" si="50"/>
        <v>0</v>
      </c>
      <c r="AK96" s="1645">
        <f t="shared" si="56"/>
        <v>0</v>
      </c>
      <c r="AM96" s="1944" t="s">
        <v>168</v>
      </c>
      <c r="AN96" s="1922">
        <f t="shared" si="38"/>
        <v>4.2</v>
      </c>
      <c r="AO96" s="858">
        <f t="shared" si="39"/>
        <v>4.2</v>
      </c>
      <c r="AP96" s="1843" t="s">
        <v>387</v>
      </c>
      <c r="AQ96" s="1839">
        <f t="shared" si="53"/>
        <v>0</v>
      </c>
      <c r="AR96" s="1708">
        <f t="shared" si="54"/>
        <v>0</v>
      </c>
      <c r="AU96" s="4"/>
      <c r="AV96" s="62"/>
      <c r="AW96" s="209"/>
      <c r="AX96" s="62"/>
      <c r="AY96" s="1589"/>
      <c r="AZ96" s="786"/>
      <c r="BA96" s="1589"/>
      <c r="BB96" s="62"/>
      <c r="BC96" s="1909"/>
      <c r="BD96" s="62"/>
      <c r="BE96" s="1570"/>
    </row>
    <row r="97" spans="2:57" ht="14.25" customHeight="1" thickBot="1">
      <c r="B97" s="404"/>
      <c r="C97" s="169" t="s">
        <v>324</v>
      </c>
      <c r="D97" s="3"/>
      <c r="E97" s="321" t="s">
        <v>332</v>
      </c>
      <c r="F97" s="861"/>
      <c r="G97" s="862"/>
      <c r="H97" s="961" t="s">
        <v>446</v>
      </c>
      <c r="I97" s="38"/>
      <c r="J97" s="38"/>
      <c r="K97" s="810"/>
      <c r="L97" s="969" t="s">
        <v>180</v>
      </c>
      <c r="M97" s="50"/>
      <c r="O97" s="1613" t="s">
        <v>89</v>
      </c>
      <c r="P97" s="1724"/>
      <c r="Q97" s="1585"/>
      <c r="R97" s="1724"/>
      <c r="S97" s="1585"/>
      <c r="T97" s="1724"/>
      <c r="U97" s="1585"/>
      <c r="V97" s="1724">
        <f t="shared" si="34"/>
        <v>0</v>
      </c>
      <c r="W97" s="1605">
        <f t="shared" si="35"/>
        <v>0</v>
      </c>
      <c r="X97" s="1724">
        <f t="shared" si="36"/>
        <v>0</v>
      </c>
      <c r="Y97" s="1585">
        <f t="shared" si="37"/>
        <v>0</v>
      </c>
      <c r="AA97" s="1663" t="s">
        <v>83</v>
      </c>
      <c r="AB97" s="1785"/>
      <c r="AC97" s="1639"/>
      <c r="AD97" s="1785"/>
      <c r="AE97" s="1671"/>
      <c r="AF97" s="1785"/>
      <c r="AG97" s="1759"/>
      <c r="AH97" s="1789">
        <f t="shared" si="49"/>
        <v>0</v>
      </c>
      <c r="AI97" s="1772">
        <f t="shared" si="58"/>
        <v>0</v>
      </c>
      <c r="AJ97" s="1789">
        <f t="shared" si="50"/>
        <v>0</v>
      </c>
      <c r="AK97" s="1645">
        <f t="shared" si="56"/>
        <v>0</v>
      </c>
      <c r="AM97" s="1944" t="s">
        <v>89</v>
      </c>
      <c r="AN97" s="1922">
        <f t="shared" si="38"/>
        <v>0</v>
      </c>
      <c r="AO97" s="858">
        <f t="shared" si="39"/>
        <v>0</v>
      </c>
      <c r="AP97" s="1844" t="s">
        <v>121</v>
      </c>
      <c r="AQ97" s="1839">
        <f t="shared" si="53"/>
        <v>63.85</v>
      </c>
      <c r="AR97" s="1708">
        <f t="shared" si="54"/>
        <v>56.84</v>
      </c>
      <c r="AU97" s="4"/>
      <c r="AV97" s="62"/>
      <c r="AW97" s="209"/>
      <c r="AX97" s="62"/>
      <c r="AY97" s="1589"/>
      <c r="AZ97" s="786"/>
      <c r="BA97" s="1589"/>
      <c r="BB97" s="62"/>
      <c r="BC97" s="1909"/>
      <c r="BD97" s="62"/>
      <c r="BE97" s="1570"/>
    </row>
    <row r="98" spans="2:57" ht="15.75" thickBot="1">
      <c r="B98" s="156" t="s">
        <v>325</v>
      </c>
      <c r="C98" s="241" t="s">
        <v>326</v>
      </c>
      <c r="D98" s="285">
        <v>200</v>
      </c>
      <c r="E98" s="307" t="s">
        <v>118</v>
      </c>
      <c r="F98" s="102" t="s">
        <v>119</v>
      </c>
      <c r="G98" s="133" t="s">
        <v>120</v>
      </c>
      <c r="H98" s="317" t="s">
        <v>118</v>
      </c>
      <c r="I98" s="103" t="s">
        <v>119</v>
      </c>
      <c r="J98" s="318" t="s">
        <v>120</v>
      </c>
      <c r="K98" s="313" t="s">
        <v>118</v>
      </c>
      <c r="L98" s="97" t="s">
        <v>119</v>
      </c>
      <c r="M98" s="135" t="s">
        <v>120</v>
      </c>
      <c r="O98" s="1613" t="s">
        <v>61</v>
      </c>
      <c r="P98" s="1724">
        <f>I76</f>
        <v>1.4</v>
      </c>
      <c r="Q98" s="1585">
        <f>I76</f>
        <v>1.4</v>
      </c>
      <c r="R98" s="1724">
        <f>F90+I91+L90</f>
        <v>1.7</v>
      </c>
      <c r="S98" s="1585">
        <f>G90+J91+M90</f>
        <v>1.7</v>
      </c>
      <c r="T98" s="1727">
        <f>I104+L103</f>
        <v>0.44999999999999996</v>
      </c>
      <c r="U98" s="1585">
        <f>M103+J104</f>
        <v>0.44999999999999996</v>
      </c>
      <c r="V98" s="1724">
        <f t="shared" si="34"/>
        <v>3.0999999999999996</v>
      </c>
      <c r="W98" s="1605">
        <f t="shared" si="35"/>
        <v>3.0999999999999996</v>
      </c>
      <c r="X98" s="1724">
        <f t="shared" si="36"/>
        <v>2.15</v>
      </c>
      <c r="Y98" s="1585">
        <f t="shared" si="37"/>
        <v>2.15</v>
      </c>
      <c r="AA98" s="1663" t="s">
        <v>84</v>
      </c>
      <c r="AB98" s="1782"/>
      <c r="AC98" s="1639"/>
      <c r="AD98" s="1782"/>
      <c r="AE98" s="1671"/>
      <c r="AF98" s="1782"/>
      <c r="AG98" s="1759"/>
      <c r="AH98" s="1789">
        <f t="shared" si="49"/>
        <v>0</v>
      </c>
      <c r="AI98" s="1772">
        <f t="shared" si="58"/>
        <v>0</v>
      </c>
      <c r="AJ98" s="1789">
        <f t="shared" si="50"/>
        <v>0</v>
      </c>
      <c r="AK98" s="1645">
        <f t="shared" si="56"/>
        <v>0</v>
      </c>
      <c r="AM98" s="1944" t="s">
        <v>61</v>
      </c>
      <c r="AN98" s="1922">
        <f t="shared" si="38"/>
        <v>3.55</v>
      </c>
      <c r="AO98" s="858">
        <f t="shared" si="39"/>
        <v>3.55</v>
      </c>
      <c r="AP98" s="1845" t="s">
        <v>388</v>
      </c>
      <c r="AQ98" s="1839">
        <f t="shared" si="53"/>
        <v>2.9449999999999998</v>
      </c>
      <c r="AR98" s="1708">
        <f t="shared" si="54"/>
        <v>2.5</v>
      </c>
      <c r="AU98" s="4"/>
      <c r="AV98" s="62"/>
      <c r="AX98" s="62"/>
      <c r="AY98" s="1570"/>
      <c r="AZ98" s="786"/>
      <c r="BA98" s="1570"/>
      <c r="BB98" s="62"/>
      <c r="BC98" s="1909"/>
      <c r="BD98" s="62"/>
      <c r="BE98" s="1570"/>
    </row>
    <row r="99" spans="2:57" ht="15" customHeight="1" thickBot="1">
      <c r="B99" s="156" t="s">
        <v>445</v>
      </c>
      <c r="C99" s="283" t="s">
        <v>443</v>
      </c>
      <c r="D99" s="328" t="s">
        <v>533</v>
      </c>
      <c r="E99" s="863" t="s">
        <v>331</v>
      </c>
      <c r="F99" s="326">
        <v>207</v>
      </c>
      <c r="G99" s="421">
        <v>200</v>
      </c>
      <c r="H99" s="100" t="s">
        <v>447</v>
      </c>
      <c r="I99" s="326">
        <v>20.7</v>
      </c>
      <c r="J99" s="973">
        <v>20.7</v>
      </c>
      <c r="K99" s="216" t="s">
        <v>93</v>
      </c>
      <c r="L99" s="123">
        <v>15</v>
      </c>
      <c r="M99" s="132">
        <v>15</v>
      </c>
      <c r="O99" s="1613" t="s">
        <v>143</v>
      </c>
      <c r="P99" s="1724"/>
      <c r="Q99" s="1585"/>
      <c r="R99" s="1724"/>
      <c r="S99" s="1585"/>
      <c r="T99" s="1724"/>
      <c r="U99" s="1585"/>
      <c r="V99" s="1724">
        <f t="shared" si="34"/>
        <v>0</v>
      </c>
      <c r="W99" s="1605">
        <f t="shared" si="35"/>
        <v>0</v>
      </c>
      <c r="X99" s="1724">
        <f t="shared" si="36"/>
        <v>0</v>
      </c>
      <c r="Y99" s="1585">
        <f t="shared" si="37"/>
        <v>0</v>
      </c>
      <c r="AA99" s="1663" t="s">
        <v>85</v>
      </c>
      <c r="AB99" s="1782"/>
      <c r="AC99" s="1599"/>
      <c r="AD99" s="1782"/>
      <c r="AE99" s="1670"/>
      <c r="AF99" s="1782"/>
      <c r="AG99" s="1682"/>
      <c r="AH99" s="1789">
        <f t="shared" si="49"/>
        <v>0</v>
      </c>
      <c r="AI99" s="1772">
        <f t="shared" si="58"/>
        <v>0</v>
      </c>
      <c r="AJ99" s="1789">
        <f t="shared" si="50"/>
        <v>0</v>
      </c>
      <c r="AK99" s="1645">
        <f t="shared" si="56"/>
        <v>0</v>
      </c>
      <c r="AM99" s="1944" t="s">
        <v>143</v>
      </c>
      <c r="AN99" s="1922">
        <f t="shared" si="38"/>
        <v>0</v>
      </c>
      <c r="AO99" s="858">
        <f t="shared" si="39"/>
        <v>0</v>
      </c>
      <c r="AP99" s="1850" t="s">
        <v>875</v>
      </c>
      <c r="AQ99" s="1915">
        <f t="shared" si="53"/>
        <v>66.795000000000002</v>
      </c>
      <c r="AR99" s="1847">
        <f t="shared" si="54"/>
        <v>59.34</v>
      </c>
      <c r="AU99" s="4"/>
      <c r="AV99" s="62"/>
      <c r="AW99" s="207"/>
      <c r="AX99" s="62"/>
      <c r="AY99" s="1570"/>
      <c r="AZ99" s="786"/>
      <c r="BA99" s="1570"/>
      <c r="BB99" s="62"/>
      <c r="BC99" s="1909"/>
      <c r="BD99" s="62"/>
      <c r="BE99" s="1570"/>
    </row>
    <row r="100" spans="2:57" ht="13.5" customHeight="1">
      <c r="B100" s="168"/>
      <c r="C100" s="167" t="s">
        <v>444</v>
      </c>
      <c r="E100" s="495"/>
      <c r="F100" s="427"/>
      <c r="G100" s="864"/>
      <c r="H100" s="186" t="s">
        <v>94</v>
      </c>
      <c r="I100" s="233">
        <v>68.400000000000006</v>
      </c>
      <c r="J100" s="275">
        <v>68.400000000000006</v>
      </c>
      <c r="K100" s="241" t="s">
        <v>95</v>
      </c>
      <c r="L100" s="233">
        <v>1.35</v>
      </c>
      <c r="M100" s="236">
        <v>1.35</v>
      </c>
      <c r="O100" s="1617" t="s">
        <v>229</v>
      </c>
      <c r="P100" s="1747">
        <f>P104+P103+P102+P101</f>
        <v>1.7</v>
      </c>
      <c r="Q100" s="1679">
        <f>Q104+Q103+Q102+Q101</f>
        <v>1.7</v>
      </c>
      <c r="R100" s="1911">
        <f>R104+R103+R102+R101</f>
        <v>0.31</v>
      </c>
      <c r="S100" s="1679">
        <f>S101+S102+S103+S104</f>
        <v>0.31</v>
      </c>
      <c r="T100" s="1911">
        <f>T101+T102+T103+T104</f>
        <v>1.5E-3</v>
      </c>
      <c r="U100" s="1679">
        <f>U104+U103+U102+U101</f>
        <v>1.5E-3</v>
      </c>
      <c r="V100" s="1912">
        <f>P100+R100</f>
        <v>2.0099999999999998</v>
      </c>
      <c r="W100" s="1605">
        <f t="shared" si="35"/>
        <v>2.0099999999999998</v>
      </c>
      <c r="X100" s="1724">
        <f t="shared" si="36"/>
        <v>0.3115</v>
      </c>
      <c r="Y100" s="1679">
        <f t="shared" si="37"/>
        <v>0.3115</v>
      </c>
      <c r="AA100" s="1663" t="s">
        <v>87</v>
      </c>
      <c r="AB100" s="1782"/>
      <c r="AC100" s="1640"/>
      <c r="AD100" s="1782"/>
      <c r="AE100" s="1670"/>
      <c r="AF100" s="1782"/>
      <c r="AG100" s="1682"/>
      <c r="AH100" s="1789">
        <f t="shared" si="49"/>
        <v>0</v>
      </c>
      <c r="AI100" s="1772">
        <f t="shared" si="58"/>
        <v>0</v>
      </c>
      <c r="AJ100" s="1789">
        <f t="shared" si="50"/>
        <v>0</v>
      </c>
      <c r="AK100" s="1645">
        <f t="shared" si="56"/>
        <v>0</v>
      </c>
      <c r="AM100" s="1948" t="s">
        <v>229</v>
      </c>
      <c r="AN100" s="1922">
        <f t="shared" si="38"/>
        <v>2.0114999999999998</v>
      </c>
      <c r="AO100" s="858">
        <f>Q100+S100+U100</f>
        <v>2.0114999999999998</v>
      </c>
      <c r="AP100" s="1695" t="s">
        <v>208</v>
      </c>
      <c r="AQ100" s="1839">
        <f t="shared" si="53"/>
        <v>0</v>
      </c>
      <c r="AR100" s="1708">
        <f t="shared" si="54"/>
        <v>0</v>
      </c>
      <c r="AU100" s="4"/>
      <c r="AV100" s="62"/>
      <c r="AX100" s="62"/>
      <c r="AY100" s="1570"/>
      <c r="AZ100" s="786"/>
      <c r="BA100" s="1570"/>
      <c r="BB100" s="62"/>
      <c r="BC100" s="1909"/>
      <c r="BD100" s="62"/>
      <c r="BE100" s="1570"/>
    </row>
    <row r="101" spans="2:57" ht="15.75" customHeight="1">
      <c r="B101" s="246" t="s">
        <v>10</v>
      </c>
      <c r="C101" s="241" t="s">
        <v>11</v>
      </c>
      <c r="D101" s="284">
        <v>40</v>
      </c>
      <c r="E101" s="96"/>
      <c r="F101" s="32"/>
      <c r="G101" s="891"/>
      <c r="H101" s="270" t="s">
        <v>79</v>
      </c>
      <c r="I101" s="234">
        <v>21.16</v>
      </c>
      <c r="J101" s="308">
        <v>17.100000000000001</v>
      </c>
      <c r="K101" s="167" t="s">
        <v>92</v>
      </c>
      <c r="L101" s="234">
        <v>1.35</v>
      </c>
      <c r="M101" s="269">
        <v>1.35</v>
      </c>
      <c r="O101" s="1618" t="s">
        <v>222</v>
      </c>
      <c r="P101" s="1728"/>
      <c r="Q101" s="1607"/>
      <c r="R101" s="1971">
        <f>F91</f>
        <v>0.01</v>
      </c>
      <c r="S101" s="1607">
        <f>G91</f>
        <v>0.01</v>
      </c>
      <c r="T101" s="1932"/>
      <c r="U101" s="1607"/>
      <c r="V101" s="1775">
        <f>P101+R101</f>
        <v>0.01</v>
      </c>
      <c r="W101" s="1607"/>
      <c r="X101" s="1725">
        <f t="shared" si="36"/>
        <v>0.01</v>
      </c>
      <c r="Y101" s="1607"/>
      <c r="AA101" s="1663" t="s">
        <v>88</v>
      </c>
      <c r="AB101" s="1782"/>
      <c r="AC101" s="1599"/>
      <c r="AD101" s="1782"/>
      <c r="AE101" s="1670"/>
      <c r="AF101" s="1782"/>
      <c r="AG101" s="1682"/>
      <c r="AH101" s="1789">
        <f t="shared" si="49"/>
        <v>0</v>
      </c>
      <c r="AI101" s="1772">
        <f t="shared" si="58"/>
        <v>0</v>
      </c>
      <c r="AJ101" s="1789">
        <f t="shared" si="50"/>
        <v>0</v>
      </c>
      <c r="AK101" s="1645">
        <f t="shared" si="56"/>
        <v>0</v>
      </c>
      <c r="AM101" s="1949" t="s">
        <v>222</v>
      </c>
      <c r="AN101" s="1980">
        <f t="shared" si="38"/>
        <v>0.01</v>
      </c>
      <c r="AO101" s="1594">
        <f t="shared" si="39"/>
        <v>0.01</v>
      </c>
      <c r="AP101" s="1663" t="s">
        <v>81</v>
      </c>
      <c r="AQ101" s="1839">
        <f t="shared" si="53"/>
        <v>0</v>
      </c>
      <c r="AR101" s="1708">
        <f t="shared" si="54"/>
        <v>0</v>
      </c>
      <c r="AU101" s="4"/>
      <c r="AV101" s="62"/>
      <c r="AX101" s="62"/>
      <c r="AY101" s="911"/>
      <c r="AZ101" s="786"/>
      <c r="BA101" s="911"/>
      <c r="BB101" s="62"/>
      <c r="BC101" s="1909"/>
      <c r="BD101" s="62"/>
      <c r="BE101" s="1570"/>
    </row>
    <row r="102" spans="2:57" ht="12.75" customHeight="1" thickBot="1">
      <c r="B102" s="61"/>
      <c r="C102" s="999"/>
      <c r="E102" s="417"/>
      <c r="F102" s="8"/>
      <c r="G102" s="865"/>
      <c r="H102" s="185" t="s">
        <v>95</v>
      </c>
      <c r="I102" s="256">
        <v>1.8</v>
      </c>
      <c r="J102" s="482">
        <v>1.8</v>
      </c>
      <c r="K102" s="305" t="s">
        <v>448</v>
      </c>
      <c r="L102" s="256">
        <v>1.5E-3</v>
      </c>
      <c r="M102" s="257">
        <v>1.5E-3</v>
      </c>
      <c r="O102" s="1619" t="s">
        <v>679</v>
      </c>
      <c r="P102" s="1729">
        <f>J78</f>
        <v>1.5</v>
      </c>
      <c r="Q102" s="1608">
        <f>J78</f>
        <v>1.5</v>
      </c>
      <c r="R102" s="1972">
        <f>G97</f>
        <v>0</v>
      </c>
      <c r="S102" s="1608"/>
      <c r="T102" s="1933"/>
      <c r="U102" s="1608"/>
      <c r="V102" s="1775">
        <f t="shared" ref="V102:V103" si="59">P102+R102</f>
        <v>1.5</v>
      </c>
      <c r="W102" s="1608"/>
      <c r="X102" s="1725">
        <f t="shared" si="36"/>
        <v>0</v>
      </c>
      <c r="Y102" s="1608"/>
      <c r="AA102" s="1685" t="s">
        <v>90</v>
      </c>
      <c r="AB102" s="1927">
        <f>F77</f>
        <v>51</v>
      </c>
      <c r="AC102" s="1907">
        <f>G77</f>
        <v>51</v>
      </c>
      <c r="AD102" s="1783"/>
      <c r="AE102" s="1687"/>
      <c r="AF102" s="1783">
        <f>I99</f>
        <v>20.7</v>
      </c>
      <c r="AG102" s="1760">
        <f>J99</f>
        <v>20.7</v>
      </c>
      <c r="AH102" s="1790">
        <f t="shared" si="49"/>
        <v>51</v>
      </c>
      <c r="AI102" s="1772">
        <f t="shared" si="58"/>
        <v>51</v>
      </c>
      <c r="AJ102" s="1790">
        <f t="shared" si="50"/>
        <v>20.7</v>
      </c>
      <c r="AK102" s="1805">
        <f t="shared" si="56"/>
        <v>20.7</v>
      </c>
      <c r="AM102" s="1950" t="s">
        <v>679</v>
      </c>
      <c r="AN102" s="1980">
        <f t="shared" si="38"/>
        <v>1.5</v>
      </c>
      <c r="AO102" s="1594">
        <f t="shared" si="39"/>
        <v>1.5</v>
      </c>
      <c r="AP102" s="1663" t="s">
        <v>83</v>
      </c>
      <c r="AQ102" s="1839">
        <f t="shared" si="53"/>
        <v>0</v>
      </c>
      <c r="AR102" s="1708">
        <f t="shared" si="54"/>
        <v>0</v>
      </c>
      <c r="AU102" s="16"/>
      <c r="AV102" s="62"/>
      <c r="AX102" s="62"/>
      <c r="AY102" s="1570"/>
      <c r="AZ102" s="786"/>
      <c r="BA102" s="1570"/>
      <c r="BB102" s="62"/>
      <c r="BC102" s="1909"/>
      <c r="BD102" s="62"/>
      <c r="BE102" s="1570"/>
    </row>
    <row r="103" spans="2:57" ht="12.75" customHeight="1" thickBot="1">
      <c r="B103" s="61"/>
      <c r="C103" s="999"/>
      <c r="E103" s="61"/>
      <c r="G103" s="71"/>
      <c r="H103" s="185" t="s">
        <v>225</v>
      </c>
      <c r="I103" s="971" t="s">
        <v>980</v>
      </c>
      <c r="J103" s="310">
        <v>1.6</v>
      </c>
      <c r="K103" s="241" t="s">
        <v>97</v>
      </c>
      <c r="L103" s="971">
        <v>0.24</v>
      </c>
      <c r="M103" s="235">
        <v>0.24</v>
      </c>
      <c r="O103" s="1620" t="s">
        <v>449</v>
      </c>
      <c r="P103" s="1730"/>
      <c r="Q103" s="1609"/>
      <c r="R103" s="1730"/>
      <c r="S103" s="1609"/>
      <c r="T103" s="1981">
        <f>L102</f>
        <v>1.5E-3</v>
      </c>
      <c r="U103" s="1609">
        <f>M102</f>
        <v>1.5E-3</v>
      </c>
      <c r="V103" s="1775">
        <f t="shared" si="59"/>
        <v>0</v>
      </c>
      <c r="W103" s="1609"/>
      <c r="X103" s="1725">
        <f t="shared" si="36"/>
        <v>1.5E-3</v>
      </c>
      <c r="Y103" s="1609"/>
      <c r="AA103" s="1688" t="s">
        <v>877</v>
      </c>
      <c r="AB103" s="1786">
        <f t="shared" ref="AB103:AG103" si="60">SUM(AB95:AB102)</f>
        <v>51</v>
      </c>
      <c r="AC103" s="1689">
        <f t="shared" si="60"/>
        <v>51</v>
      </c>
      <c r="AD103" s="1906">
        <f t="shared" si="60"/>
        <v>0</v>
      </c>
      <c r="AE103" s="1690">
        <f t="shared" si="60"/>
        <v>0</v>
      </c>
      <c r="AF103" s="1786">
        <f t="shared" si="60"/>
        <v>20.7</v>
      </c>
      <c r="AG103" s="1761">
        <f t="shared" si="60"/>
        <v>20.7</v>
      </c>
      <c r="AH103" s="1797">
        <f>AB103+AD103</f>
        <v>51</v>
      </c>
      <c r="AI103" s="1816">
        <f>AC103+AE103</f>
        <v>51</v>
      </c>
      <c r="AJ103" s="1797">
        <f>AD103+AF103</f>
        <v>20.7</v>
      </c>
      <c r="AK103" s="1691">
        <f t="shared" si="56"/>
        <v>20.7</v>
      </c>
      <c r="AM103" s="1951" t="s">
        <v>449</v>
      </c>
      <c r="AN103" s="1980">
        <f t="shared" si="38"/>
        <v>1.5E-3</v>
      </c>
      <c r="AO103" s="1594">
        <f t="shared" si="39"/>
        <v>1.5E-3</v>
      </c>
      <c r="AP103" s="1663" t="s">
        <v>84</v>
      </c>
      <c r="AQ103" s="1839">
        <f t="shared" si="53"/>
        <v>0</v>
      </c>
      <c r="AR103" s="1708">
        <f t="shared" si="54"/>
        <v>0</v>
      </c>
      <c r="AT103" s="911"/>
      <c r="AU103" s="4"/>
      <c r="AV103" s="62"/>
      <c r="AX103" s="62"/>
      <c r="AY103" s="1570"/>
      <c r="AZ103" s="786"/>
      <c r="BA103" s="1570"/>
      <c r="BB103" s="62"/>
      <c r="BC103" s="282"/>
      <c r="BD103" s="62"/>
      <c r="BE103" s="1570"/>
    </row>
    <row r="104" spans="2:57" ht="14.25" customHeight="1">
      <c r="B104" s="61"/>
      <c r="C104" s="999"/>
      <c r="E104" s="61"/>
      <c r="G104" s="71"/>
      <c r="H104" s="241" t="s">
        <v>97</v>
      </c>
      <c r="I104" s="971">
        <v>0.21</v>
      </c>
      <c r="J104" s="193">
        <v>0.21</v>
      </c>
      <c r="K104" s="241" t="s">
        <v>94</v>
      </c>
      <c r="L104" s="234">
        <v>16</v>
      </c>
      <c r="M104" s="269">
        <v>16</v>
      </c>
      <c r="O104" s="1942" t="s">
        <v>167</v>
      </c>
      <c r="P104" s="1935">
        <f>L79</f>
        <v>0.2</v>
      </c>
      <c r="Q104" s="1609">
        <f>M79</f>
        <v>0.2</v>
      </c>
      <c r="R104" s="1725">
        <f>L89</f>
        <v>0.3</v>
      </c>
      <c r="S104" s="1609">
        <f>M89</f>
        <v>0.3</v>
      </c>
      <c r="T104" s="1934"/>
      <c r="U104" s="1609"/>
      <c r="V104" s="1976">
        <f>P104+R104</f>
        <v>0.5</v>
      </c>
      <c r="W104" s="1609"/>
      <c r="X104" s="1976">
        <f t="shared" si="36"/>
        <v>0.3</v>
      </c>
      <c r="Y104" s="1609"/>
      <c r="AM104" s="1953" t="s">
        <v>167</v>
      </c>
      <c r="AN104" s="1980">
        <f t="shared" si="38"/>
        <v>0.5</v>
      </c>
      <c r="AO104" s="1594">
        <f>Q104+S104+U104</f>
        <v>0.5</v>
      </c>
      <c r="AP104" s="1663" t="s">
        <v>85</v>
      </c>
      <c r="AQ104" s="1839">
        <f t="shared" si="53"/>
        <v>0</v>
      </c>
      <c r="AR104" s="1708">
        <f t="shared" si="54"/>
        <v>0</v>
      </c>
      <c r="AT104" s="911"/>
      <c r="AV104" s="62"/>
      <c r="AX104" s="62"/>
      <c r="AY104" s="1570"/>
      <c r="AZ104" s="786"/>
      <c r="BA104" s="1570"/>
      <c r="BB104" s="62"/>
      <c r="BC104" s="282"/>
      <c r="BD104" s="62"/>
      <c r="BE104" s="1570"/>
    </row>
    <row r="105" spans="2:57" ht="15" customHeight="1" thickBot="1">
      <c r="B105" s="61"/>
      <c r="C105" s="1201"/>
      <c r="E105" s="61"/>
      <c r="G105" s="71"/>
      <c r="H105" s="270" t="s">
        <v>135</v>
      </c>
      <c r="I105" s="234">
        <v>3</v>
      </c>
      <c r="J105" s="308">
        <v>3</v>
      </c>
      <c r="K105" s="283" t="s">
        <v>57</v>
      </c>
      <c r="L105" s="1087">
        <v>2.4</v>
      </c>
      <c r="M105" s="274">
        <v>2.4</v>
      </c>
      <c r="O105" s="563" t="s">
        <v>116</v>
      </c>
      <c r="P105" s="1610"/>
      <c r="Q105" s="1611"/>
      <c r="R105" s="1610"/>
      <c r="S105" s="1611"/>
      <c r="T105" s="1610">
        <f>I105</f>
        <v>3</v>
      </c>
      <c r="U105" s="1611">
        <f>J105</f>
        <v>3</v>
      </c>
      <c r="V105" s="1610"/>
      <c r="W105" s="1611"/>
      <c r="X105" s="1610"/>
      <c r="Y105" s="1611"/>
      <c r="AM105" s="563" t="s">
        <v>116</v>
      </c>
      <c r="AN105" s="1922">
        <f t="shared" si="38"/>
        <v>3</v>
      </c>
      <c r="AO105" s="858">
        <f>Q105+S105+U105</f>
        <v>3</v>
      </c>
      <c r="AP105" s="1663" t="s">
        <v>87</v>
      </c>
      <c r="AQ105" s="1839">
        <f t="shared" si="53"/>
        <v>0</v>
      </c>
      <c r="AR105" s="1708">
        <f t="shared" si="54"/>
        <v>0</v>
      </c>
      <c r="AT105" s="911"/>
      <c r="AU105" s="4"/>
      <c r="AV105" s="62"/>
      <c r="AW105" s="8"/>
      <c r="AX105" s="62"/>
      <c r="AY105" s="1570"/>
      <c r="AZ105" s="786"/>
      <c r="BA105" s="1570"/>
      <c r="BB105" s="62"/>
      <c r="BC105" s="282"/>
      <c r="BD105" s="62"/>
      <c r="BE105" s="1570"/>
    </row>
    <row r="106" spans="2:57" ht="14.25" customHeight="1" thickBot="1">
      <c r="B106" s="1139" t="s">
        <v>584</v>
      </c>
      <c r="C106" s="1136"/>
      <c r="D106" s="1137">
        <f>D98+D101+90+30</f>
        <v>360</v>
      </c>
      <c r="E106" s="57"/>
      <c r="F106" s="29"/>
      <c r="G106" s="74"/>
      <c r="H106" s="412" t="s">
        <v>103</v>
      </c>
      <c r="I106" s="446">
        <v>4.2</v>
      </c>
      <c r="J106" s="974">
        <v>4.2</v>
      </c>
      <c r="K106" s="232"/>
      <c r="L106" s="232"/>
      <c r="M106" s="191"/>
      <c r="AN106" s="142"/>
      <c r="AO106" s="155"/>
      <c r="AP106" s="1663" t="s">
        <v>88</v>
      </c>
      <c r="AQ106" s="1839">
        <f t="shared" si="53"/>
        <v>0</v>
      </c>
      <c r="AR106" s="1708">
        <f t="shared" si="54"/>
        <v>0</v>
      </c>
      <c r="AT106" s="911"/>
      <c r="AU106" s="206"/>
      <c r="AV106" s="62"/>
      <c r="AW106" s="91"/>
      <c r="AX106" s="62"/>
      <c r="AY106" s="1570"/>
      <c r="AZ106" s="786"/>
      <c r="BA106" s="1570"/>
      <c r="BB106" s="62"/>
      <c r="BC106" s="911"/>
      <c r="BD106" s="62"/>
      <c r="BE106" s="1570"/>
    </row>
    <row r="107" spans="2:57" ht="15" customHeight="1" thickBot="1">
      <c r="G107" s="4"/>
      <c r="H107" s="4"/>
      <c r="I107" s="8"/>
      <c r="J107" s="124"/>
      <c r="Q107" s="1570"/>
      <c r="S107" s="1570"/>
      <c r="U107" s="367"/>
      <c r="W107" s="1967"/>
      <c r="Y107" s="1580"/>
      <c r="AN107" s="140"/>
      <c r="AO107" s="4"/>
      <c r="AP107" s="1685" t="s">
        <v>90</v>
      </c>
      <c r="AQ107" s="1839">
        <f t="shared" si="53"/>
        <v>71.7</v>
      </c>
      <c r="AR107" s="1708">
        <f t="shared" si="54"/>
        <v>71.7</v>
      </c>
      <c r="AT107" s="911"/>
      <c r="AU107" s="206"/>
      <c r="AV107" s="62"/>
      <c r="AW107" s="91"/>
      <c r="AX107" s="62"/>
      <c r="AY107" s="1570"/>
      <c r="AZ107" s="786"/>
      <c r="BA107" s="1570"/>
      <c r="BB107" s="62"/>
      <c r="BC107" s="911"/>
      <c r="BD107" s="62"/>
      <c r="BE107" s="1570"/>
    </row>
    <row r="108" spans="2:57" ht="15.75" thickBot="1">
      <c r="G108" s="4"/>
      <c r="H108" s="4"/>
      <c r="I108" s="1033"/>
      <c r="J108" s="142"/>
      <c r="O108" s="4"/>
      <c r="Q108" s="1570"/>
      <c r="S108" s="1570"/>
      <c r="U108" s="1570"/>
      <c r="W108" s="911"/>
      <c r="Y108" s="1570"/>
      <c r="AL108" s="1570"/>
      <c r="AN108" s="142"/>
      <c r="AO108" s="4"/>
      <c r="AP108" s="1688" t="s">
        <v>877</v>
      </c>
      <c r="AQ108" s="1913">
        <f t="shared" si="53"/>
        <v>71.7</v>
      </c>
      <c r="AR108" s="1690">
        <f t="shared" si="54"/>
        <v>71.7</v>
      </c>
    </row>
    <row r="109" spans="2:57" ht="14.25" customHeight="1">
      <c r="G109" s="91"/>
      <c r="H109" s="4"/>
      <c r="I109" s="110"/>
      <c r="J109" s="141"/>
      <c r="O109" s="13"/>
      <c r="Q109" s="911"/>
      <c r="S109" s="911"/>
      <c r="U109" s="911"/>
      <c r="W109" s="911"/>
      <c r="Y109" s="1570"/>
      <c r="AL109" s="1570"/>
      <c r="AN109" s="910"/>
    </row>
    <row r="110" spans="2:57" ht="12.75" customHeight="1">
      <c r="G110" s="91"/>
      <c r="H110" s="4"/>
      <c r="I110" s="110"/>
      <c r="J110" s="141"/>
      <c r="O110" s="13"/>
      <c r="Q110" s="1570"/>
      <c r="S110" s="1570"/>
      <c r="U110" s="1570"/>
      <c r="W110" s="911"/>
      <c r="Y110" s="1570"/>
      <c r="AL110" s="1570"/>
      <c r="AN110" s="910"/>
    </row>
    <row r="111" spans="2:57" ht="13.5" customHeight="1">
      <c r="O111" s="13"/>
      <c r="Q111" s="1570"/>
      <c r="S111" s="1570"/>
      <c r="U111" s="1570"/>
      <c r="W111" s="911"/>
      <c r="Y111" s="1570"/>
      <c r="AL111" s="1570"/>
    </row>
    <row r="112" spans="2:57" ht="15" customHeight="1">
      <c r="O112" s="4"/>
      <c r="Q112" s="367"/>
      <c r="S112" s="367"/>
      <c r="U112" s="1589"/>
      <c r="W112" s="911"/>
      <c r="Y112" s="1570"/>
      <c r="AL112" s="1570"/>
      <c r="AN112" s="910"/>
    </row>
    <row r="113" spans="2:46" ht="13.5" customHeight="1">
      <c r="O113" s="4"/>
      <c r="Q113" s="367"/>
      <c r="S113" s="1581"/>
      <c r="U113" s="1570"/>
      <c r="W113" s="1570"/>
      <c r="Y113" s="1570"/>
      <c r="AL113" s="1570"/>
      <c r="AN113" s="910"/>
    </row>
    <row r="114" spans="2:46" ht="12.75" customHeight="1">
      <c r="O114" s="4"/>
      <c r="Q114" s="367"/>
      <c r="S114" s="1581"/>
      <c r="U114" s="1570"/>
      <c r="W114" s="1570"/>
      <c r="Y114" s="1570"/>
      <c r="AL114" s="1570"/>
    </row>
    <row r="115" spans="2:46" ht="14.25" customHeight="1">
      <c r="O115" s="4"/>
      <c r="Q115" s="367"/>
      <c r="S115" s="1581"/>
      <c r="U115" s="1570"/>
      <c r="W115" s="1570"/>
      <c r="Y115" s="1570"/>
      <c r="AC115" s="62"/>
      <c r="AE115" s="62"/>
      <c r="AF115" s="1570"/>
      <c r="AG115" s="786"/>
      <c r="AH115" s="1570"/>
      <c r="AI115" s="62"/>
      <c r="AJ115" s="282"/>
      <c r="AK115" s="62"/>
      <c r="AL115" s="1570"/>
    </row>
    <row r="116" spans="2:46" ht="13.5" customHeight="1">
      <c r="O116" s="4"/>
      <c r="Q116" s="367"/>
      <c r="S116" s="1581"/>
      <c r="U116" s="1570"/>
      <c r="W116" s="1570"/>
      <c r="Y116" s="1570"/>
      <c r="AC116" s="62"/>
      <c r="AE116" s="62"/>
      <c r="AF116" s="1570"/>
      <c r="AG116" s="786"/>
      <c r="AH116" s="1570"/>
      <c r="AI116" s="62"/>
      <c r="AJ116" s="282"/>
      <c r="AK116" s="62"/>
      <c r="AL116" s="1570"/>
    </row>
    <row r="117" spans="2:46" ht="14.25" customHeight="1">
      <c r="O117" s="4"/>
      <c r="Q117" s="367"/>
      <c r="S117" s="1581"/>
      <c r="U117" s="1570"/>
      <c r="W117" s="1570"/>
      <c r="Y117" s="1570"/>
      <c r="AC117" s="62"/>
      <c r="AD117" s="4"/>
      <c r="AE117" s="62"/>
      <c r="AF117" s="367"/>
      <c r="AG117" s="786"/>
      <c r="AH117" s="367"/>
      <c r="AI117" s="62"/>
      <c r="AJ117" s="282"/>
      <c r="AK117" s="62"/>
      <c r="AL117" s="1570"/>
    </row>
    <row r="118" spans="2:46" ht="15.75" customHeight="1">
      <c r="O118" s="4"/>
      <c r="Q118" s="367"/>
      <c r="S118" s="1581"/>
      <c r="U118" s="367"/>
      <c r="W118" s="1570"/>
      <c r="Y118" s="1570"/>
      <c r="AC118" s="62"/>
      <c r="AD118" s="4"/>
      <c r="AE118" s="62"/>
      <c r="AF118" s="367"/>
      <c r="AG118" s="786"/>
      <c r="AH118" s="367"/>
      <c r="AI118" s="62"/>
      <c r="AJ118" s="282"/>
      <c r="AK118" s="62"/>
      <c r="AL118" s="1570"/>
    </row>
    <row r="119" spans="2:46" ht="15" customHeight="1">
      <c r="C119" s="171" t="s">
        <v>551</v>
      </c>
      <c r="G119" s="2"/>
      <c r="H119" s="2"/>
      <c r="I119" s="2"/>
      <c r="L119" s="2"/>
      <c r="Y119" s="1570"/>
      <c r="AK119" s="62"/>
      <c r="AL119" s="1570"/>
    </row>
    <row r="120" spans="2:46" ht="15" customHeight="1">
      <c r="C120"/>
      <c r="D120" s="94" t="s">
        <v>354</v>
      </c>
      <c r="F120" s="15"/>
      <c r="K120" s="87"/>
      <c r="O120" s="94"/>
      <c r="P120" s="201"/>
      <c r="U120" s="129"/>
      <c r="W120" s="45"/>
      <c r="X120" s="63"/>
      <c r="Y120" s="1570"/>
      <c r="AK120" s="62"/>
      <c r="AL120" s="1570"/>
    </row>
    <row r="121" spans="2:46" ht="14.25" customHeight="1">
      <c r="O121" t="s">
        <v>872</v>
      </c>
      <c r="Y121" s="1570"/>
      <c r="AK121" s="62"/>
      <c r="AL121" s="1570"/>
    </row>
    <row r="122" spans="2:46" ht="14.25" customHeight="1">
      <c r="C122" s="1" t="s">
        <v>552</v>
      </c>
      <c r="Q122" s="1570"/>
      <c r="S122" s="1570"/>
      <c r="U122" s="367"/>
      <c r="W122" s="367"/>
      <c r="Y122" s="367"/>
      <c r="AA122" t="s">
        <v>872</v>
      </c>
      <c r="AK122" s="62"/>
      <c r="AL122" s="1570"/>
      <c r="AN122" s="9"/>
    </row>
    <row r="123" spans="2:46" ht="14.25" customHeight="1">
      <c r="C123" s="1" t="s">
        <v>553</v>
      </c>
      <c r="O123" s="517"/>
      <c r="Q123" s="1570"/>
      <c r="S123" s="1570"/>
      <c r="U123" s="1570"/>
      <c r="W123" s="1570"/>
      <c r="Y123" s="1570"/>
      <c r="AA123" s="94" t="str">
        <f>O129</f>
        <v>3- й   день</v>
      </c>
      <c r="AB123" s="201" t="s">
        <v>513</v>
      </c>
      <c r="AG123" s="129" t="s">
        <v>174</v>
      </c>
      <c r="AI123" s="45" t="s">
        <v>558</v>
      </c>
      <c r="AJ123" s="63"/>
      <c r="AK123" s="62"/>
      <c r="AL123" s="1570"/>
      <c r="AN123" s="48"/>
      <c r="AS123" s="12"/>
      <c r="AT123" s="48"/>
    </row>
    <row r="124" spans="2:46" ht="14.25" customHeight="1">
      <c r="C124" s="1" t="s">
        <v>553</v>
      </c>
      <c r="E124" t="s">
        <v>554</v>
      </c>
      <c r="J124" s="207"/>
    </row>
    <row r="125" spans="2:46" ht="15.75" customHeight="1">
      <c r="C125" s="1" t="s">
        <v>555</v>
      </c>
      <c r="E125" t="s">
        <v>556</v>
      </c>
    </row>
    <row r="126" spans="2:46" ht="16.5" customHeight="1">
      <c r="C126" s="1" t="s">
        <v>555</v>
      </c>
      <c r="E126" t="s">
        <v>557</v>
      </c>
    </row>
    <row r="127" spans="2:46" ht="15.75" customHeight="1"/>
    <row r="128" spans="2:46" ht="15" customHeight="1" thickBot="1">
      <c r="B128" s="2" t="s">
        <v>513</v>
      </c>
      <c r="F128" s="129" t="s">
        <v>174</v>
      </c>
      <c r="I128" s="13" t="s">
        <v>558</v>
      </c>
      <c r="K128" s="346"/>
      <c r="Q128" s="1570"/>
      <c r="S128" s="1570"/>
      <c r="U128" s="1570"/>
      <c r="W128" s="1570"/>
      <c r="Y128" s="1570"/>
      <c r="AA128" s="203"/>
      <c r="AB128" s="62"/>
      <c r="AC128" s="62"/>
      <c r="AD128" s="4"/>
      <c r="AE128" s="62"/>
      <c r="AF128" s="367"/>
      <c r="AG128" s="786"/>
      <c r="AH128" s="1581"/>
      <c r="AI128" s="62"/>
      <c r="AJ128" s="1578"/>
      <c r="AK128" s="62"/>
      <c r="AL128" s="1570"/>
      <c r="AN128" s="48"/>
      <c r="AP128" s="91"/>
      <c r="AQ128" s="92"/>
      <c r="AR128" s="92"/>
      <c r="AS128" s="4"/>
      <c r="AT128" s="4"/>
    </row>
    <row r="129" spans="2:46" ht="15" customHeight="1" thickBot="1">
      <c r="B129" s="2"/>
      <c r="C129" s="2"/>
      <c r="D129" s="81"/>
      <c r="F129" s="129"/>
      <c r="I129" s="82"/>
      <c r="K129" s="346"/>
      <c r="O129" s="1936" t="s">
        <v>902</v>
      </c>
      <c r="P129" s="516" t="s">
        <v>513</v>
      </c>
      <c r="Q129" s="38"/>
      <c r="R129" s="38"/>
      <c r="S129" s="38"/>
      <c r="T129" s="38"/>
      <c r="U129" s="1937" t="s">
        <v>174</v>
      </c>
      <c r="V129" s="38"/>
      <c r="W129" s="1938" t="s">
        <v>558</v>
      </c>
      <c r="X129" s="1939"/>
      <c r="Y129" s="1582"/>
      <c r="AA129" s="155"/>
      <c r="AC129" s="62"/>
      <c r="AD129" s="91"/>
      <c r="AE129" s="62"/>
      <c r="AF129" s="367"/>
      <c r="AG129" s="786"/>
      <c r="AH129" s="911"/>
      <c r="AI129" s="62"/>
      <c r="AJ129" s="1578"/>
      <c r="AK129" s="62"/>
      <c r="AL129" s="1570"/>
      <c r="AM129" s="37"/>
      <c r="AN129" s="312" t="s">
        <v>893</v>
      </c>
      <c r="AO129" s="38"/>
      <c r="AP129" s="68"/>
      <c r="AQ129" s="38"/>
      <c r="AR129" s="50"/>
      <c r="AS129" s="4"/>
      <c r="AT129" s="4"/>
    </row>
    <row r="130" spans="2:46" ht="12.75" customHeight="1" thickBot="1">
      <c r="B130" s="25" t="s">
        <v>2</v>
      </c>
      <c r="C130" s="83" t="s">
        <v>3</v>
      </c>
      <c r="D130" s="84" t="s">
        <v>4</v>
      </c>
      <c r="E130" s="88" t="s">
        <v>69</v>
      </c>
      <c r="F130" s="68"/>
      <c r="G130" s="68"/>
      <c r="H130" s="68"/>
      <c r="I130" s="68"/>
      <c r="J130" s="68"/>
      <c r="K130" s="68"/>
      <c r="L130" s="68"/>
      <c r="M130" s="54"/>
      <c r="N130" s="136"/>
      <c r="O130" s="1612" t="s">
        <v>508</v>
      </c>
      <c r="P130" s="1676" t="s">
        <v>886</v>
      </c>
      <c r="Q130" s="1602"/>
      <c r="R130" s="1676" t="s">
        <v>885</v>
      </c>
      <c r="S130" s="1602"/>
      <c r="T130" s="1676" t="s">
        <v>887</v>
      </c>
      <c r="U130" s="1602"/>
      <c r="V130" s="1676" t="s">
        <v>889</v>
      </c>
      <c r="W130" s="1602"/>
      <c r="X130" s="1977" t="s">
        <v>891</v>
      </c>
      <c r="Y130" s="1978"/>
      <c r="AA130" s="1612" t="s">
        <v>508</v>
      </c>
      <c r="AB130" s="1676" t="s">
        <v>886</v>
      </c>
      <c r="AC130" s="1602"/>
      <c r="AD130" s="1676" t="s">
        <v>885</v>
      </c>
      <c r="AE130" s="1602"/>
      <c r="AF130" s="1676" t="s">
        <v>887</v>
      </c>
      <c r="AG130" s="1602"/>
      <c r="AH130" s="1676" t="s">
        <v>888</v>
      </c>
      <c r="AI130" s="1602"/>
      <c r="AJ130" s="1798" t="s">
        <v>890</v>
      </c>
      <c r="AK130" s="1602"/>
      <c r="AM130" s="1612" t="s">
        <v>508</v>
      </c>
      <c r="AN130" s="1862" t="s">
        <v>892</v>
      </c>
      <c r="AO130" s="1999"/>
      <c r="AP130" s="1612" t="s">
        <v>508</v>
      </c>
      <c r="AQ130" s="2001" t="s">
        <v>892</v>
      </c>
      <c r="AR130" s="1841"/>
      <c r="AS130" s="4"/>
      <c r="AT130" s="4"/>
    </row>
    <row r="131" spans="2:46" ht="15" customHeight="1" thickBot="1">
      <c r="B131" s="28" t="s">
        <v>5</v>
      </c>
      <c r="C131" s="29"/>
      <c r="D131" s="489" t="s">
        <v>71</v>
      </c>
      <c r="E131" s="57"/>
      <c r="F131" s="29"/>
      <c r="G131" s="29"/>
      <c r="H131" s="29"/>
      <c r="I131" s="29"/>
      <c r="J131" s="29"/>
      <c r="K131" s="29"/>
      <c r="L131" s="29"/>
      <c r="M131" s="74"/>
      <c r="N131" s="124"/>
      <c r="O131" s="871"/>
      <c r="P131" s="1621" t="s">
        <v>119</v>
      </c>
      <c r="Q131" s="1622" t="s">
        <v>120</v>
      </c>
      <c r="R131" s="1621" t="s">
        <v>119</v>
      </c>
      <c r="S131" s="1622" t="s">
        <v>120</v>
      </c>
      <c r="T131" s="1621" t="s">
        <v>119</v>
      </c>
      <c r="U131" s="1622" t="s">
        <v>120</v>
      </c>
      <c r="V131" s="1621" t="s">
        <v>119</v>
      </c>
      <c r="W131" s="1622" t="s">
        <v>120</v>
      </c>
      <c r="X131" s="1804" t="s">
        <v>119</v>
      </c>
      <c r="Y131" s="1822" t="s">
        <v>120</v>
      </c>
      <c r="AA131" s="2003" t="s">
        <v>67</v>
      </c>
      <c r="AB131" s="1621" t="s">
        <v>119</v>
      </c>
      <c r="AC131" s="1664" t="s">
        <v>120</v>
      </c>
      <c r="AD131" s="1637" t="s">
        <v>119</v>
      </c>
      <c r="AE131" s="1638" t="s">
        <v>120</v>
      </c>
      <c r="AF131" s="1637" t="s">
        <v>119</v>
      </c>
      <c r="AG131" s="1638" t="s">
        <v>120</v>
      </c>
      <c r="AH131" s="1621" t="s">
        <v>119</v>
      </c>
      <c r="AI131" s="1622" t="s">
        <v>120</v>
      </c>
      <c r="AJ131" s="1799" t="s">
        <v>119</v>
      </c>
      <c r="AK131" s="1622" t="s">
        <v>120</v>
      </c>
      <c r="AM131" s="871"/>
      <c r="AN131" s="1952" t="s">
        <v>119</v>
      </c>
      <c r="AO131" s="2000" t="s">
        <v>120</v>
      </c>
      <c r="AP131" s="2003" t="s">
        <v>67</v>
      </c>
      <c r="AQ131" s="2002" t="s">
        <v>119</v>
      </c>
      <c r="AR131" s="1985" t="s">
        <v>120</v>
      </c>
      <c r="AS131" s="855"/>
    </row>
    <row r="132" spans="2:46" ht="14.25" customHeight="1" thickBot="1">
      <c r="B132" s="868" t="s">
        <v>412</v>
      </c>
      <c r="C132" s="875"/>
      <c r="D132" s="462"/>
      <c r="E132" s="2378" t="s">
        <v>970</v>
      </c>
      <c r="F132" s="880"/>
      <c r="H132" s="38" t="s">
        <v>405</v>
      </c>
      <c r="I132" s="38"/>
      <c r="J132" s="50"/>
      <c r="K132" s="881" t="s">
        <v>411</v>
      </c>
      <c r="L132" s="179"/>
      <c r="M132" s="882"/>
      <c r="N132" s="124"/>
      <c r="O132" s="1940" t="s">
        <v>165</v>
      </c>
      <c r="P132" s="1731">
        <f>D140</f>
        <v>30</v>
      </c>
      <c r="Q132" s="2018">
        <f>D140</f>
        <v>30</v>
      </c>
      <c r="R132" s="1731">
        <f>D152</f>
        <v>40</v>
      </c>
      <c r="S132" s="2018">
        <f>D152</f>
        <v>40</v>
      </c>
      <c r="T132" s="1731"/>
      <c r="U132" s="2018"/>
      <c r="V132" s="1731">
        <f>P132+R132</f>
        <v>70</v>
      </c>
      <c r="W132" s="2019">
        <f>Q132+S132</f>
        <v>70</v>
      </c>
      <c r="X132" s="1731">
        <f>R132+T132</f>
        <v>40</v>
      </c>
      <c r="Y132" s="1583">
        <f>S132+U132</f>
        <v>40</v>
      </c>
      <c r="AA132" s="178" t="s">
        <v>159</v>
      </c>
      <c r="AB132" s="1778"/>
      <c r="AC132" s="840"/>
      <c r="AD132" s="1788">
        <f>F150</f>
        <v>10.74</v>
      </c>
      <c r="AE132" s="1598">
        <f>G150</f>
        <v>7</v>
      </c>
      <c r="AF132" s="1792"/>
      <c r="AG132" s="1681"/>
      <c r="AH132" s="1792">
        <f>AB132+AD132</f>
        <v>10.74</v>
      </c>
      <c r="AI132" s="1586">
        <f>AC132+AE132</f>
        <v>7</v>
      </c>
      <c r="AJ132" s="1792">
        <f>AD132+AF132</f>
        <v>10.74</v>
      </c>
      <c r="AK132" s="1587">
        <f>AE132+AG132</f>
        <v>7</v>
      </c>
      <c r="AM132" s="1992" t="s">
        <v>165</v>
      </c>
      <c r="AN132" s="847">
        <f>P132+R132+T132</f>
        <v>70</v>
      </c>
      <c r="AO132" s="1994">
        <f>Q132+S132+U132</f>
        <v>70</v>
      </c>
      <c r="AP132" s="1989" t="str">
        <f>AA132</f>
        <v>горошек конс. зелён.</v>
      </c>
      <c r="AQ132" s="1801">
        <f>AB132+AD132+AF132</f>
        <v>10.74</v>
      </c>
      <c r="AR132" s="1986">
        <f>AC132+AE132+AG132</f>
        <v>7</v>
      </c>
    </row>
    <row r="133" spans="2:46" ht="15" customHeight="1" thickBot="1">
      <c r="B133" s="809"/>
      <c r="C133" s="163" t="s">
        <v>199</v>
      </c>
      <c r="D133" s="130"/>
      <c r="E133" s="263" t="s">
        <v>118</v>
      </c>
      <c r="F133" s="97" t="s">
        <v>119</v>
      </c>
      <c r="G133" s="135" t="s">
        <v>120</v>
      </c>
      <c r="H133" s="339" t="s">
        <v>118</v>
      </c>
      <c r="I133" s="102" t="s">
        <v>119</v>
      </c>
      <c r="J133" s="133" t="s">
        <v>120</v>
      </c>
      <c r="K133" s="307" t="s">
        <v>118</v>
      </c>
      <c r="L133" s="102" t="s">
        <v>119</v>
      </c>
      <c r="M133" s="133" t="s">
        <v>120</v>
      </c>
      <c r="N133" s="315"/>
      <c r="O133" s="1613" t="s">
        <v>164</v>
      </c>
      <c r="P133" s="1724">
        <f>F135+D139</f>
        <v>52</v>
      </c>
      <c r="Q133" s="2020">
        <f>G135+D139</f>
        <v>52</v>
      </c>
      <c r="R133" s="1724">
        <f>D151</f>
        <v>60</v>
      </c>
      <c r="S133" s="2020">
        <f>D151</f>
        <v>60</v>
      </c>
      <c r="T133" s="1724">
        <f>F163+D164</f>
        <v>47</v>
      </c>
      <c r="U133" s="2020">
        <f>G163+D164</f>
        <v>47</v>
      </c>
      <c r="V133" s="1724">
        <f t="shared" ref="V133:V161" si="61">P133+R133</f>
        <v>112</v>
      </c>
      <c r="W133" s="1586">
        <f t="shared" ref="W133:W162" si="62">Q133+S133</f>
        <v>112</v>
      </c>
      <c r="X133" s="1724">
        <f t="shared" ref="X133:X166" si="63">R133+T133</f>
        <v>107</v>
      </c>
      <c r="Y133" s="1585">
        <f t="shared" ref="Y133:Y162" si="64">S133+U133</f>
        <v>107</v>
      </c>
      <c r="AA133" s="178" t="s">
        <v>70</v>
      </c>
      <c r="AB133" s="444"/>
      <c r="AC133" s="841"/>
      <c r="AD133" s="1789"/>
      <c r="AE133" s="1598"/>
      <c r="AF133" s="1789"/>
      <c r="AG133" s="1681"/>
      <c r="AH133" s="1789">
        <f t="shared" ref="AH133:AH146" si="65">AB133+AD133</f>
        <v>0</v>
      </c>
      <c r="AI133" s="1586">
        <f t="shared" ref="AI133:AI147" si="66">AC133+AE133</f>
        <v>0</v>
      </c>
      <c r="AJ133" s="1789">
        <f t="shared" ref="AJ133:AJ146" si="67">AD133+AF133</f>
        <v>0</v>
      </c>
      <c r="AK133" s="1587">
        <f t="shared" ref="AK133:AK146" si="68">AE133+AG133</f>
        <v>0</v>
      </c>
      <c r="AM133" s="1944" t="s">
        <v>164</v>
      </c>
      <c r="AN133" s="847">
        <f t="shared" ref="AN133:AN166" si="69">P133+R133+T133</f>
        <v>159</v>
      </c>
      <c r="AO133" s="1994">
        <f t="shared" ref="AO133:AO162" si="70">Q133+S133+U133</f>
        <v>159</v>
      </c>
      <c r="AP133" s="838" t="str">
        <f t="shared" ref="AP133:AP148" si="71">AA133</f>
        <v>репа бакл</v>
      </c>
      <c r="AQ133" s="1801">
        <f t="shared" ref="AQ133:AQ148" si="72">AB133+AD133+AF133</f>
        <v>0</v>
      </c>
      <c r="AR133" s="1668">
        <f t="shared" ref="AR133:AR147" si="73">AC133+AE133+AG133</f>
        <v>0</v>
      </c>
    </row>
    <row r="134" spans="2:46" ht="16.5" customHeight="1">
      <c r="B134" s="1184" t="s">
        <v>625</v>
      </c>
      <c r="C134" s="283" t="s">
        <v>406</v>
      </c>
      <c r="D134" s="332">
        <v>65</v>
      </c>
      <c r="E134" s="100" t="s">
        <v>150</v>
      </c>
      <c r="F134" s="1057">
        <v>174.55</v>
      </c>
      <c r="G134" s="416">
        <v>122.5</v>
      </c>
      <c r="H134" s="216" t="s">
        <v>92</v>
      </c>
      <c r="I134" s="123">
        <v>0.55000000000000004</v>
      </c>
      <c r="J134" s="131">
        <v>0.55000000000000004</v>
      </c>
      <c r="K134" s="100" t="s">
        <v>52</v>
      </c>
      <c r="L134" s="1057">
        <v>129.07</v>
      </c>
      <c r="M134" s="1058">
        <v>96.8</v>
      </c>
      <c r="O134" s="1941" t="s">
        <v>92</v>
      </c>
      <c r="P134" s="1724">
        <f>F139+I134</f>
        <v>12.100000000000001</v>
      </c>
      <c r="Q134" s="1600">
        <f>G139+J134</f>
        <v>12.100000000000001</v>
      </c>
      <c r="R134" s="1724">
        <f>I151</f>
        <v>2</v>
      </c>
      <c r="S134" s="1600">
        <f>J151</f>
        <v>2</v>
      </c>
      <c r="T134" s="1724">
        <f>I163</f>
        <v>2.71</v>
      </c>
      <c r="U134" s="1586">
        <f>J163</f>
        <v>2.71</v>
      </c>
      <c r="V134" s="1724">
        <f t="shared" si="61"/>
        <v>14.100000000000001</v>
      </c>
      <c r="W134" s="1586">
        <f t="shared" si="62"/>
        <v>14.100000000000001</v>
      </c>
      <c r="X134" s="1724">
        <f t="shared" si="63"/>
        <v>4.71</v>
      </c>
      <c r="Y134" s="1585">
        <f t="shared" si="64"/>
        <v>4.71</v>
      </c>
      <c r="AA134" s="125" t="s">
        <v>72</v>
      </c>
      <c r="AB134" s="444"/>
      <c r="AC134" s="842"/>
      <c r="AD134" s="1789"/>
      <c r="AE134" s="1598"/>
      <c r="AF134" s="1789"/>
      <c r="AG134" s="1681"/>
      <c r="AH134" s="1789">
        <f t="shared" si="65"/>
        <v>0</v>
      </c>
      <c r="AI134" s="1586">
        <f t="shared" si="66"/>
        <v>0</v>
      </c>
      <c r="AJ134" s="1789">
        <f t="shared" si="67"/>
        <v>0</v>
      </c>
      <c r="AK134" s="1587">
        <f t="shared" si="68"/>
        <v>0</v>
      </c>
      <c r="AM134" s="1993" t="s">
        <v>92</v>
      </c>
      <c r="AN134" s="847">
        <f t="shared" si="69"/>
        <v>16.810000000000002</v>
      </c>
      <c r="AO134" s="1994">
        <f t="shared" si="70"/>
        <v>16.810000000000002</v>
      </c>
      <c r="AP134" s="838" t="str">
        <f t="shared" si="71"/>
        <v>кабачек</v>
      </c>
      <c r="AQ134" s="1801">
        <f t="shared" si="72"/>
        <v>0</v>
      </c>
      <c r="AR134" s="1668">
        <f t="shared" si="73"/>
        <v>0</v>
      </c>
      <c r="AT134" s="48"/>
    </row>
    <row r="135" spans="2:46" ht="16.5" customHeight="1">
      <c r="B135" s="246" t="s">
        <v>211</v>
      </c>
      <c r="C135" s="241" t="s">
        <v>218</v>
      </c>
      <c r="D135" s="239" t="s">
        <v>515</v>
      </c>
      <c r="E135" s="185" t="s">
        <v>91</v>
      </c>
      <c r="F135" s="233">
        <v>2</v>
      </c>
      <c r="G135" s="411">
        <v>2</v>
      </c>
      <c r="H135" s="241" t="s">
        <v>94</v>
      </c>
      <c r="I135" s="233">
        <v>6.5</v>
      </c>
      <c r="J135" s="235">
        <v>6.5</v>
      </c>
      <c r="K135" s="185" t="s">
        <v>93</v>
      </c>
      <c r="L135" s="233">
        <v>17.600000000000001</v>
      </c>
      <c r="M135" s="247">
        <v>16.5</v>
      </c>
      <c r="N135" s="124"/>
      <c r="O135" s="1996" t="s">
        <v>900</v>
      </c>
      <c r="P135" s="1725">
        <f t="shared" ref="P135:U135" si="74">AB170</f>
        <v>0</v>
      </c>
      <c r="Q135" s="1595">
        <f t="shared" si="74"/>
        <v>0</v>
      </c>
      <c r="R135" s="1725">
        <f t="shared" si="74"/>
        <v>38.85</v>
      </c>
      <c r="S135" s="1595">
        <f t="shared" si="74"/>
        <v>38.85</v>
      </c>
      <c r="T135" s="1725">
        <f t="shared" si="74"/>
        <v>0</v>
      </c>
      <c r="U135" s="1595">
        <f t="shared" si="74"/>
        <v>0</v>
      </c>
      <c r="V135" s="1725">
        <f>P135+R135</f>
        <v>38.85</v>
      </c>
      <c r="W135" s="1594">
        <f t="shared" si="62"/>
        <v>38.85</v>
      </c>
      <c r="X135" s="1725">
        <f t="shared" si="63"/>
        <v>38.85</v>
      </c>
      <c r="Y135" s="1820">
        <f t="shared" si="64"/>
        <v>38.85</v>
      </c>
      <c r="AA135" s="125" t="s">
        <v>74</v>
      </c>
      <c r="AB135" s="444"/>
      <c r="AC135" s="1958"/>
      <c r="AD135" s="1789"/>
      <c r="AE135" s="1598"/>
      <c r="AF135" s="1789"/>
      <c r="AG135" s="1681"/>
      <c r="AH135" s="1789">
        <f t="shared" si="65"/>
        <v>0</v>
      </c>
      <c r="AI135" s="1586">
        <f t="shared" si="66"/>
        <v>0</v>
      </c>
      <c r="AJ135" s="1789">
        <f t="shared" si="67"/>
        <v>0</v>
      </c>
      <c r="AK135" s="1587">
        <f t="shared" si="68"/>
        <v>0</v>
      </c>
      <c r="AM135" s="1996" t="s">
        <v>900</v>
      </c>
      <c r="AN135" s="1742">
        <f t="shared" si="69"/>
        <v>38.85</v>
      </c>
      <c r="AO135" s="1677">
        <f t="shared" si="70"/>
        <v>38.85</v>
      </c>
      <c r="AP135" s="838" t="str">
        <f t="shared" si="71"/>
        <v>тыква</v>
      </c>
      <c r="AQ135" s="1801">
        <f t="shared" si="72"/>
        <v>0</v>
      </c>
      <c r="AR135" s="1668">
        <f t="shared" si="73"/>
        <v>0</v>
      </c>
      <c r="AT135" s="95"/>
    </row>
    <row r="136" spans="2:46" ht="15.75" customHeight="1">
      <c r="B136" s="156" t="s">
        <v>410</v>
      </c>
      <c r="C136" s="283" t="s">
        <v>128</v>
      </c>
      <c r="D136" s="300" t="s">
        <v>516</v>
      </c>
      <c r="E136" s="185" t="s">
        <v>93</v>
      </c>
      <c r="F136" s="233">
        <v>1.74</v>
      </c>
      <c r="G136" s="411">
        <v>1.74</v>
      </c>
      <c r="H136" s="241" t="s">
        <v>77</v>
      </c>
      <c r="I136" s="233">
        <v>1</v>
      </c>
      <c r="J136" s="235">
        <v>1</v>
      </c>
      <c r="K136" s="185" t="s">
        <v>408</v>
      </c>
      <c r="L136" s="233">
        <v>3.3</v>
      </c>
      <c r="M136" s="247">
        <v>3.3</v>
      </c>
      <c r="N136" s="488"/>
      <c r="O136" s="1944" t="s">
        <v>123</v>
      </c>
      <c r="P136" s="1724"/>
      <c r="Q136" s="1569"/>
      <c r="R136" s="1724"/>
      <c r="S136" s="1569"/>
      <c r="T136" s="1724"/>
      <c r="U136" s="1569"/>
      <c r="V136" s="1724">
        <f t="shared" si="61"/>
        <v>0</v>
      </c>
      <c r="W136" s="1586">
        <f t="shared" si="62"/>
        <v>0</v>
      </c>
      <c r="X136" s="1724">
        <f t="shared" si="63"/>
        <v>0</v>
      </c>
      <c r="Y136" s="1585">
        <f t="shared" si="64"/>
        <v>0</v>
      </c>
      <c r="AA136" s="126" t="s">
        <v>112</v>
      </c>
      <c r="AB136" s="444">
        <f>I136</f>
        <v>1</v>
      </c>
      <c r="AC136" s="1957">
        <f>J136</f>
        <v>1</v>
      </c>
      <c r="AD136" s="1969">
        <f>I150+L147</f>
        <v>23.8</v>
      </c>
      <c r="AE136" s="1598">
        <f>J150+M147</f>
        <v>23.8</v>
      </c>
      <c r="AF136" s="1789"/>
      <c r="AG136" s="1681"/>
      <c r="AH136" s="1789">
        <f t="shared" si="65"/>
        <v>24.8</v>
      </c>
      <c r="AI136" s="1586">
        <f t="shared" si="66"/>
        <v>24.8</v>
      </c>
      <c r="AJ136" s="1789">
        <f t="shared" si="67"/>
        <v>23.8</v>
      </c>
      <c r="AK136" s="1587">
        <f t="shared" si="68"/>
        <v>23.8</v>
      </c>
      <c r="AM136" s="1944" t="s">
        <v>123</v>
      </c>
      <c r="AN136" s="847">
        <f t="shared" si="69"/>
        <v>0</v>
      </c>
      <c r="AO136" s="1994">
        <f t="shared" si="70"/>
        <v>0</v>
      </c>
      <c r="AP136" s="838" t="str">
        <f t="shared" si="71"/>
        <v>томат пюре</v>
      </c>
      <c r="AQ136" s="1801">
        <f t="shared" si="72"/>
        <v>24.8</v>
      </c>
      <c r="AR136" s="1668">
        <f t="shared" si="73"/>
        <v>24.8</v>
      </c>
    </row>
    <row r="137" spans="2:46" ht="13.5" customHeight="1">
      <c r="B137" s="407" t="s">
        <v>407</v>
      </c>
      <c r="C137" s="756" t="s">
        <v>524</v>
      </c>
      <c r="D137" s="332"/>
      <c r="E137" s="185" t="s">
        <v>221</v>
      </c>
      <c r="F137" s="233">
        <v>9.0619999999999994</v>
      </c>
      <c r="G137" s="411">
        <v>7.04</v>
      </c>
      <c r="H137" s="241" t="s">
        <v>108</v>
      </c>
      <c r="I137" s="233">
        <v>1.35</v>
      </c>
      <c r="J137" s="235">
        <v>1.35</v>
      </c>
      <c r="K137" s="185" t="s">
        <v>61</v>
      </c>
      <c r="L137" s="1053">
        <v>0.8</v>
      </c>
      <c r="M137" s="1054">
        <v>0.8</v>
      </c>
      <c r="N137" s="137"/>
      <c r="O137" s="495" t="s">
        <v>52</v>
      </c>
      <c r="P137" s="1724">
        <f>L134</f>
        <v>129.07</v>
      </c>
      <c r="Q137" s="1586">
        <f>M134</f>
        <v>96.8</v>
      </c>
      <c r="R137" s="1724">
        <f>F147</f>
        <v>66.75</v>
      </c>
      <c r="S137" s="1569">
        <f>G147</f>
        <v>50</v>
      </c>
      <c r="T137" s="1724"/>
      <c r="U137" s="1569"/>
      <c r="V137" s="1724">
        <f t="shared" si="61"/>
        <v>195.82</v>
      </c>
      <c r="W137" s="1586">
        <f t="shared" si="62"/>
        <v>146.80000000000001</v>
      </c>
      <c r="X137" s="1724">
        <f t="shared" si="63"/>
        <v>66.75</v>
      </c>
      <c r="Y137" s="1585">
        <f t="shared" si="64"/>
        <v>50</v>
      </c>
      <c r="AA137" s="125" t="s">
        <v>161</v>
      </c>
      <c r="AB137" s="444"/>
      <c r="AC137" s="1957"/>
      <c r="AD137" s="1789"/>
      <c r="AE137" s="1598"/>
      <c r="AF137" s="1789"/>
      <c r="AG137" s="1681"/>
      <c r="AH137" s="1789">
        <f t="shared" si="65"/>
        <v>0</v>
      </c>
      <c r="AI137" s="1586">
        <f t="shared" si="66"/>
        <v>0</v>
      </c>
      <c r="AJ137" s="1789">
        <f t="shared" si="67"/>
        <v>0</v>
      </c>
      <c r="AK137" s="1587">
        <f t="shared" si="68"/>
        <v>0</v>
      </c>
      <c r="AM137" s="495" t="s">
        <v>52</v>
      </c>
      <c r="AN137" s="847">
        <f t="shared" si="69"/>
        <v>195.82</v>
      </c>
      <c r="AO137" s="1994">
        <f t="shared" si="70"/>
        <v>146.80000000000001</v>
      </c>
      <c r="AP137" s="838" t="str">
        <f t="shared" si="71"/>
        <v>зелень св.</v>
      </c>
      <c r="AQ137" s="1801">
        <f t="shared" si="72"/>
        <v>0</v>
      </c>
      <c r="AR137" s="1668">
        <f t="shared" si="73"/>
        <v>0</v>
      </c>
    </row>
    <row r="138" spans="2:46" ht="17.25" customHeight="1">
      <c r="B138" s="246" t="s">
        <v>9</v>
      </c>
      <c r="C138" s="241" t="s">
        <v>585</v>
      </c>
      <c r="D138" s="239">
        <v>200</v>
      </c>
      <c r="E138" s="249" t="s">
        <v>926</v>
      </c>
      <c r="F138" s="271" t="s">
        <v>981</v>
      </c>
      <c r="G138" s="739">
        <v>0.92</v>
      </c>
      <c r="H138" s="241" t="s">
        <v>221</v>
      </c>
      <c r="I138" s="234">
        <v>0.51500000000000001</v>
      </c>
      <c r="J138" s="269">
        <v>0.43</v>
      </c>
      <c r="K138" s="1059" t="s">
        <v>409</v>
      </c>
      <c r="M138" s="71"/>
      <c r="O138" s="2016" t="s">
        <v>96</v>
      </c>
      <c r="P138" s="2050">
        <f t="shared" ref="P138:U138" si="75">AB147</f>
        <v>183.61700000000002</v>
      </c>
      <c r="Q138" s="1598">
        <f t="shared" si="75"/>
        <v>153</v>
      </c>
      <c r="R138" s="1726">
        <f t="shared" si="75"/>
        <v>169.99</v>
      </c>
      <c r="S138" s="1598">
        <f t="shared" si="75"/>
        <v>139.6</v>
      </c>
      <c r="T138" s="1726">
        <f t="shared" si="75"/>
        <v>0.76</v>
      </c>
      <c r="U138" s="1598">
        <f t="shared" si="75"/>
        <v>0.58699999999999997</v>
      </c>
      <c r="V138" s="1726">
        <f>P138+R138</f>
        <v>353.60700000000003</v>
      </c>
      <c r="W138" s="1597">
        <f t="shared" si="62"/>
        <v>292.60000000000002</v>
      </c>
      <c r="X138" s="1726">
        <f>R138+T138</f>
        <v>170.75</v>
      </c>
      <c r="Y138" s="1604">
        <f t="shared" si="64"/>
        <v>140.18699999999998</v>
      </c>
      <c r="AA138" s="125" t="s">
        <v>155</v>
      </c>
      <c r="AB138" s="2047">
        <f>L139</f>
        <v>97.3</v>
      </c>
      <c r="AC138" s="1957">
        <f>M139</f>
        <v>77.7</v>
      </c>
      <c r="AD138" s="1789">
        <f>F146</f>
        <v>31.25</v>
      </c>
      <c r="AE138" s="1598">
        <f>G146</f>
        <v>25</v>
      </c>
      <c r="AF138" s="1789"/>
      <c r="AG138" s="1681"/>
      <c r="AH138" s="1789">
        <f t="shared" si="65"/>
        <v>128.55000000000001</v>
      </c>
      <c r="AI138" s="1586">
        <f t="shared" si="66"/>
        <v>102.7</v>
      </c>
      <c r="AJ138" s="1789">
        <f t="shared" si="67"/>
        <v>31.25</v>
      </c>
      <c r="AK138" s="1587">
        <f t="shared" si="68"/>
        <v>25</v>
      </c>
      <c r="AM138" s="2016" t="s">
        <v>96</v>
      </c>
      <c r="AN138" s="852">
        <f t="shared" si="69"/>
        <v>354.36700000000002</v>
      </c>
      <c r="AO138" s="1678">
        <f t="shared" si="70"/>
        <v>293.18700000000001</v>
      </c>
      <c r="AP138" s="838" t="str">
        <f t="shared" si="71"/>
        <v>капуста свеж.</v>
      </c>
      <c r="AQ138" s="1801">
        <f t="shared" si="72"/>
        <v>128.55000000000001</v>
      </c>
      <c r="AR138" s="1668">
        <f t="shared" si="73"/>
        <v>102.7</v>
      </c>
    </row>
    <row r="139" spans="2:46" ht="18" customHeight="1">
      <c r="B139" s="246" t="s">
        <v>10</v>
      </c>
      <c r="C139" s="241" t="s">
        <v>11</v>
      </c>
      <c r="D139" s="239">
        <v>50</v>
      </c>
      <c r="E139" s="185" t="s">
        <v>92</v>
      </c>
      <c r="F139" s="233">
        <v>11.55</v>
      </c>
      <c r="G139" s="411">
        <v>11.55</v>
      </c>
      <c r="H139" s="241" t="s">
        <v>95</v>
      </c>
      <c r="I139" s="233">
        <v>2.29</v>
      </c>
      <c r="J139" s="247">
        <v>2.29</v>
      </c>
      <c r="K139" s="1060" t="s">
        <v>172</v>
      </c>
      <c r="L139" s="250">
        <v>97.3</v>
      </c>
      <c r="M139" s="236">
        <v>77.7</v>
      </c>
      <c r="O139" s="1943" t="s">
        <v>901</v>
      </c>
      <c r="P139" s="1727"/>
      <c r="Q139" s="1586"/>
      <c r="R139" s="1727">
        <f>AD154</f>
        <v>124.85</v>
      </c>
      <c r="S139" s="1569">
        <f>AE154</f>
        <v>110</v>
      </c>
      <c r="T139" s="1727">
        <f>AF154</f>
        <v>33.75</v>
      </c>
      <c r="U139" s="1569">
        <f>AG154</f>
        <v>30.5</v>
      </c>
      <c r="V139" s="1727">
        <f>P139+R139</f>
        <v>124.85</v>
      </c>
      <c r="W139" s="1586">
        <f t="shared" si="62"/>
        <v>110</v>
      </c>
      <c r="X139" s="1727">
        <f>R139+T139</f>
        <v>158.6</v>
      </c>
      <c r="Y139" s="1585">
        <f t="shared" si="64"/>
        <v>140.5</v>
      </c>
      <c r="AA139" s="125" t="s">
        <v>158</v>
      </c>
      <c r="AB139" s="444"/>
      <c r="AC139" s="1959"/>
      <c r="AD139" s="1789"/>
      <c r="AE139" s="1598"/>
      <c r="AF139" s="1789"/>
      <c r="AG139" s="1681"/>
      <c r="AH139" s="1789">
        <f t="shared" si="65"/>
        <v>0</v>
      </c>
      <c r="AI139" s="1586">
        <f t="shared" si="66"/>
        <v>0</v>
      </c>
      <c r="AJ139" s="1789">
        <f t="shared" si="67"/>
        <v>0</v>
      </c>
      <c r="AK139" s="1587">
        <f t="shared" si="68"/>
        <v>0</v>
      </c>
      <c r="AM139" s="1943" t="s">
        <v>901</v>
      </c>
      <c r="AN139" s="847">
        <f t="shared" si="69"/>
        <v>158.6</v>
      </c>
      <c r="AO139" s="1994">
        <f t="shared" si="70"/>
        <v>140.5</v>
      </c>
      <c r="AP139" s="838" t="str">
        <f t="shared" si="71"/>
        <v>капуста квашен.</v>
      </c>
      <c r="AQ139" s="1801">
        <f t="shared" si="72"/>
        <v>0</v>
      </c>
      <c r="AR139" s="1668">
        <f t="shared" si="73"/>
        <v>0</v>
      </c>
    </row>
    <row r="140" spans="2:46" ht="18" customHeight="1" thickBot="1">
      <c r="B140" s="246" t="s">
        <v>10</v>
      </c>
      <c r="C140" s="241" t="s">
        <v>792</v>
      </c>
      <c r="D140" s="239">
        <v>30</v>
      </c>
      <c r="E140" s="185" t="s">
        <v>61</v>
      </c>
      <c r="F140" s="271">
        <v>1</v>
      </c>
      <c r="G140" s="884">
        <v>1</v>
      </c>
      <c r="H140" s="241" t="s">
        <v>79</v>
      </c>
      <c r="I140" s="251">
        <v>2.29</v>
      </c>
      <c r="J140" s="293">
        <v>1.83</v>
      </c>
      <c r="K140" s="249" t="s">
        <v>95</v>
      </c>
      <c r="L140" s="251">
        <v>2.1</v>
      </c>
      <c r="M140" s="293">
        <v>2.1</v>
      </c>
      <c r="O140" s="1947" t="s">
        <v>122</v>
      </c>
      <c r="P140" s="1727"/>
      <c r="Q140" s="1569"/>
      <c r="R140" s="1727">
        <f>L156</f>
        <v>26.5</v>
      </c>
      <c r="S140" s="1569">
        <f>M156</f>
        <v>25</v>
      </c>
      <c r="T140" s="1727"/>
      <c r="U140" s="1569"/>
      <c r="V140" s="1724">
        <f t="shared" si="61"/>
        <v>26.5</v>
      </c>
      <c r="W140" s="1586">
        <f t="shared" si="62"/>
        <v>25</v>
      </c>
      <c r="X140" s="1727">
        <f>R140+T140</f>
        <v>26.5</v>
      </c>
      <c r="Y140" s="1585">
        <f t="shared" si="64"/>
        <v>25</v>
      </c>
      <c r="AA140" s="125" t="s">
        <v>101</v>
      </c>
      <c r="AB140" s="444">
        <f>F137+I138</f>
        <v>9.577</v>
      </c>
      <c r="AC140" s="1959">
        <f>G137+J138</f>
        <v>7.47</v>
      </c>
      <c r="AD140" s="1789">
        <f>F149+I148+L148</f>
        <v>30.5</v>
      </c>
      <c r="AE140" s="1598">
        <f>G149+J148+M148</f>
        <v>24.8</v>
      </c>
      <c r="AF140" s="1789">
        <f>F165</f>
        <v>0.76</v>
      </c>
      <c r="AG140" s="1681">
        <f>G165</f>
        <v>0.58699999999999997</v>
      </c>
      <c r="AH140" s="1789">
        <f t="shared" si="65"/>
        <v>40.076999999999998</v>
      </c>
      <c r="AI140" s="1586">
        <f t="shared" si="66"/>
        <v>32.270000000000003</v>
      </c>
      <c r="AJ140" s="1789">
        <f t="shared" si="67"/>
        <v>31.26</v>
      </c>
      <c r="AK140" s="1587">
        <f t="shared" si="68"/>
        <v>25.387</v>
      </c>
      <c r="AM140" s="1947" t="s">
        <v>122</v>
      </c>
      <c r="AN140" s="847">
        <f t="shared" si="69"/>
        <v>26.5</v>
      </c>
      <c r="AO140" s="1994">
        <f t="shared" si="70"/>
        <v>25</v>
      </c>
      <c r="AP140" s="838" t="str">
        <f t="shared" si="71"/>
        <v>лук репчатый</v>
      </c>
      <c r="AQ140" s="1801">
        <f t="shared" si="72"/>
        <v>40.836999999999996</v>
      </c>
      <c r="AR140" s="1668">
        <f t="shared" si="73"/>
        <v>32.857000000000006</v>
      </c>
    </row>
    <row r="141" spans="2:46" ht="15" customHeight="1" thickBot="1">
      <c r="B141" s="61"/>
      <c r="C141" s="999"/>
      <c r="D141" s="71"/>
      <c r="E141" s="185" t="s">
        <v>103</v>
      </c>
      <c r="F141" s="233">
        <v>5.46</v>
      </c>
      <c r="G141" s="411">
        <v>5.46</v>
      </c>
      <c r="H141" s="241" t="s">
        <v>227</v>
      </c>
      <c r="I141" s="885">
        <v>0.02</v>
      </c>
      <c r="J141" s="886">
        <v>0.02</v>
      </c>
      <c r="K141" s="420" t="s">
        <v>493</v>
      </c>
      <c r="L141" s="278"/>
      <c r="M141" s="50"/>
      <c r="O141" s="1993" t="s">
        <v>905</v>
      </c>
      <c r="P141" s="1724">
        <f>D138</f>
        <v>200</v>
      </c>
      <c r="Q141" s="1569">
        <f>D138</f>
        <v>200</v>
      </c>
      <c r="R141" s="1724"/>
      <c r="S141" s="1569"/>
      <c r="T141" s="1724"/>
      <c r="U141" s="1569"/>
      <c r="V141" s="1724">
        <f t="shared" si="61"/>
        <v>200</v>
      </c>
      <c r="W141" s="1586">
        <f t="shared" si="62"/>
        <v>200</v>
      </c>
      <c r="X141" s="1724">
        <f t="shared" si="63"/>
        <v>0</v>
      </c>
      <c r="Y141" s="1585">
        <f t="shared" si="64"/>
        <v>0</v>
      </c>
      <c r="AA141" s="125" t="s">
        <v>79</v>
      </c>
      <c r="AB141" s="444">
        <f>I140</f>
        <v>2.29</v>
      </c>
      <c r="AC141" s="1957">
        <f>J140</f>
        <v>1.83</v>
      </c>
      <c r="AD141" s="1789">
        <f>F148+I147</f>
        <v>17.5</v>
      </c>
      <c r="AE141" s="1598">
        <f>G148+J147</f>
        <v>14</v>
      </c>
      <c r="AF141" s="1789"/>
      <c r="AG141" s="1681"/>
      <c r="AH141" s="1789">
        <f t="shared" si="65"/>
        <v>19.79</v>
      </c>
      <c r="AI141" s="1586">
        <f t="shared" si="66"/>
        <v>15.83</v>
      </c>
      <c r="AJ141" s="1789">
        <f t="shared" si="67"/>
        <v>17.5</v>
      </c>
      <c r="AK141" s="1587">
        <f t="shared" si="68"/>
        <v>14</v>
      </c>
      <c r="AM141" s="1993" t="s">
        <v>163</v>
      </c>
      <c r="AN141" s="847">
        <f t="shared" si="69"/>
        <v>200</v>
      </c>
      <c r="AO141" s="1994">
        <f t="shared" si="70"/>
        <v>200</v>
      </c>
      <c r="AP141" s="838" t="str">
        <f t="shared" si="71"/>
        <v>морковь</v>
      </c>
      <c r="AQ141" s="1801">
        <f t="shared" si="72"/>
        <v>19.79</v>
      </c>
      <c r="AR141" s="1668">
        <f t="shared" si="73"/>
        <v>15.83</v>
      </c>
    </row>
    <row r="142" spans="2:46" ht="15.75" customHeight="1" thickBot="1">
      <c r="B142" s="61"/>
      <c r="C142" s="1201"/>
      <c r="D142" s="71"/>
      <c r="E142" s="61"/>
      <c r="H142" s="283" t="s">
        <v>61</v>
      </c>
      <c r="I142" s="302">
        <v>0.1</v>
      </c>
      <c r="J142" s="323">
        <v>0.1</v>
      </c>
      <c r="K142" s="339" t="s">
        <v>118</v>
      </c>
      <c r="L142" s="102" t="s">
        <v>119</v>
      </c>
      <c r="M142" s="133" t="s">
        <v>120</v>
      </c>
      <c r="O142" s="560" t="s">
        <v>895</v>
      </c>
      <c r="P142" s="1724">
        <f t="shared" ref="P142:U142" si="76">AB157</f>
        <v>0</v>
      </c>
      <c r="Q142" s="1569">
        <f t="shared" si="76"/>
        <v>0</v>
      </c>
      <c r="R142" s="1724">
        <f t="shared" si="76"/>
        <v>98.944999999999993</v>
      </c>
      <c r="S142" s="1569">
        <f t="shared" si="76"/>
        <v>85.5</v>
      </c>
      <c r="T142" s="1724">
        <f t="shared" si="76"/>
        <v>0</v>
      </c>
      <c r="U142" s="1569">
        <f t="shared" si="76"/>
        <v>0</v>
      </c>
      <c r="V142" s="1724">
        <f t="shared" si="61"/>
        <v>98.944999999999993</v>
      </c>
      <c r="W142" s="1586">
        <f t="shared" si="62"/>
        <v>85.5</v>
      </c>
      <c r="X142" s="1724">
        <f t="shared" si="63"/>
        <v>98.944999999999993</v>
      </c>
      <c r="Y142" s="1585">
        <f t="shared" si="64"/>
        <v>85.5</v>
      </c>
      <c r="AA142" s="125" t="s">
        <v>86</v>
      </c>
      <c r="AB142" s="444"/>
      <c r="AC142" s="1960"/>
      <c r="AD142" s="1789">
        <f>L146</f>
        <v>56.2</v>
      </c>
      <c r="AE142" s="1598">
        <f>M146</f>
        <v>45</v>
      </c>
      <c r="AF142" s="1789"/>
      <c r="AG142" s="1681"/>
      <c r="AH142" s="1789">
        <f t="shared" si="65"/>
        <v>56.2</v>
      </c>
      <c r="AI142" s="1586">
        <f t="shared" si="66"/>
        <v>45</v>
      </c>
      <c r="AJ142" s="1789">
        <f t="shared" si="67"/>
        <v>56.2</v>
      </c>
      <c r="AK142" s="1587">
        <f t="shared" si="68"/>
        <v>45</v>
      </c>
      <c r="AM142" s="560" t="s">
        <v>895</v>
      </c>
      <c r="AN142" s="847">
        <f t="shared" si="69"/>
        <v>98.944999999999993</v>
      </c>
      <c r="AO142" s="1994">
        <f t="shared" si="70"/>
        <v>85.5</v>
      </c>
      <c r="AP142" s="838" t="str">
        <f t="shared" si="71"/>
        <v>свекла</v>
      </c>
      <c r="AQ142" s="1801">
        <f t="shared" si="72"/>
        <v>56.2</v>
      </c>
      <c r="AR142" s="1668">
        <f t="shared" si="73"/>
        <v>45</v>
      </c>
    </row>
    <row r="143" spans="2:46" ht="15.75" customHeight="1" thickBot="1">
      <c r="B143" s="1202" t="s">
        <v>582</v>
      </c>
      <c r="C143" s="1203"/>
      <c r="D143" s="1204">
        <f>D134+D138+D139+D140+110+10+110+70</f>
        <v>645</v>
      </c>
      <c r="E143" s="57"/>
      <c r="F143" s="29"/>
      <c r="G143" s="29"/>
      <c r="H143" s="1061"/>
      <c r="I143" s="811"/>
      <c r="J143" s="812"/>
      <c r="K143" s="734" t="s">
        <v>66</v>
      </c>
      <c r="L143" s="1093">
        <v>73.45</v>
      </c>
      <c r="M143" s="1094">
        <v>65</v>
      </c>
      <c r="O143" s="1944" t="s">
        <v>894</v>
      </c>
      <c r="P143" s="1724">
        <f t="shared" ref="P143:U143" si="77">AB161</f>
        <v>0</v>
      </c>
      <c r="Q143" s="1586">
        <f t="shared" si="77"/>
        <v>0</v>
      </c>
      <c r="R143" s="1724">
        <f t="shared" si="77"/>
        <v>0</v>
      </c>
      <c r="S143" s="1586">
        <f t="shared" si="77"/>
        <v>0</v>
      </c>
      <c r="T143" s="1724">
        <f t="shared" si="77"/>
        <v>0</v>
      </c>
      <c r="U143" s="1586">
        <f t="shared" si="77"/>
        <v>0</v>
      </c>
      <c r="V143" s="1724">
        <f t="shared" si="61"/>
        <v>0</v>
      </c>
      <c r="W143" s="1586">
        <f t="shared" si="62"/>
        <v>0</v>
      </c>
      <c r="X143" s="1724">
        <f t="shared" si="63"/>
        <v>0</v>
      </c>
      <c r="Y143" s="1585">
        <f t="shared" si="64"/>
        <v>0</v>
      </c>
      <c r="AA143" s="125" t="s">
        <v>160</v>
      </c>
      <c r="AB143" s="444"/>
      <c r="AC143" s="1961"/>
      <c r="AD143" s="1789"/>
      <c r="AE143" s="1598"/>
      <c r="AF143" s="1789"/>
      <c r="AG143" s="1681"/>
      <c r="AH143" s="1789">
        <f t="shared" si="65"/>
        <v>0</v>
      </c>
      <c r="AI143" s="1586">
        <f t="shared" si="66"/>
        <v>0</v>
      </c>
      <c r="AJ143" s="1789">
        <f t="shared" si="67"/>
        <v>0</v>
      </c>
      <c r="AK143" s="1587">
        <f t="shared" si="68"/>
        <v>0</v>
      </c>
      <c r="AM143" s="1944" t="s">
        <v>894</v>
      </c>
      <c r="AN143" s="847">
        <f t="shared" si="69"/>
        <v>0</v>
      </c>
      <c r="AO143" s="1994">
        <f t="shared" si="70"/>
        <v>0</v>
      </c>
      <c r="AP143" s="838" t="str">
        <f t="shared" si="71"/>
        <v>помидор св.</v>
      </c>
      <c r="AQ143" s="1801">
        <f>AB143+AD143+AF143</f>
        <v>0</v>
      </c>
      <c r="AR143" s="1668">
        <f t="shared" si="73"/>
        <v>0</v>
      </c>
    </row>
    <row r="144" spans="2:46" ht="18" customHeight="1" thickBot="1">
      <c r="B144" s="826"/>
      <c r="C144" s="163" t="s">
        <v>152</v>
      </c>
      <c r="D144" s="130"/>
      <c r="E144" s="1195" t="s">
        <v>190</v>
      </c>
      <c r="F144" s="139"/>
      <c r="G144" s="291"/>
      <c r="H144" s="813" t="s">
        <v>372</v>
      </c>
      <c r="I144" s="38"/>
      <c r="J144" s="38"/>
      <c r="K144" s="961" t="s">
        <v>612</v>
      </c>
      <c r="L144" s="278"/>
      <c r="M144" s="50"/>
      <c r="N144" s="1"/>
      <c r="O144" s="1613" t="s">
        <v>150</v>
      </c>
      <c r="P144" s="1724">
        <f>F134</f>
        <v>174.55</v>
      </c>
      <c r="Q144" s="1586">
        <f>G134</f>
        <v>122.5</v>
      </c>
      <c r="R144" s="1724"/>
      <c r="S144" s="1569"/>
      <c r="T144" s="1727">
        <f>F162</f>
        <v>134.49700000000001</v>
      </c>
      <c r="U144" s="1586">
        <f>G162</f>
        <v>92.4</v>
      </c>
      <c r="V144" s="1724">
        <f t="shared" si="61"/>
        <v>174.55</v>
      </c>
      <c r="W144" s="1586">
        <f t="shared" si="62"/>
        <v>122.5</v>
      </c>
      <c r="X144" s="1724">
        <f t="shared" si="63"/>
        <v>134.49700000000001</v>
      </c>
      <c r="Y144" s="1585">
        <f t="shared" si="64"/>
        <v>92.4</v>
      </c>
      <c r="AA144" s="125" t="s">
        <v>157</v>
      </c>
      <c r="AB144" s="2048">
        <f>L143</f>
        <v>73.45</v>
      </c>
      <c r="AC144" s="1961">
        <f>M143</f>
        <v>65</v>
      </c>
      <c r="AD144" s="1789"/>
      <c r="AE144" s="1598"/>
      <c r="AF144" s="1789"/>
      <c r="AG144" s="1681"/>
      <c r="AH144" s="1789">
        <f t="shared" si="65"/>
        <v>73.45</v>
      </c>
      <c r="AI144" s="1586">
        <f t="shared" si="66"/>
        <v>65</v>
      </c>
      <c r="AJ144" s="1789">
        <f t="shared" si="67"/>
        <v>0</v>
      </c>
      <c r="AK144" s="1587">
        <f t="shared" si="68"/>
        <v>0</v>
      </c>
      <c r="AM144" s="1944" t="s">
        <v>150</v>
      </c>
      <c r="AN144" s="847">
        <f t="shared" si="69"/>
        <v>309.04700000000003</v>
      </c>
      <c r="AO144" s="1994">
        <f t="shared" si="70"/>
        <v>214.9</v>
      </c>
      <c r="AP144" s="838" t="str">
        <f t="shared" si="71"/>
        <v>огурец свежий</v>
      </c>
      <c r="AQ144" s="1801">
        <f t="shared" si="72"/>
        <v>73.45</v>
      </c>
      <c r="AR144" s="1668">
        <f t="shared" si="73"/>
        <v>65</v>
      </c>
    </row>
    <row r="145" spans="2:44" ht="15" customHeight="1" thickBot="1">
      <c r="B145" s="759" t="s">
        <v>636</v>
      </c>
      <c r="C145" s="1099" t="s">
        <v>638</v>
      </c>
      <c r="D145" s="1205">
        <v>60</v>
      </c>
      <c r="E145" s="281" t="s">
        <v>118</v>
      </c>
      <c r="F145" s="97" t="s">
        <v>119</v>
      </c>
      <c r="G145" s="135" t="s">
        <v>120</v>
      </c>
      <c r="H145" s="281" t="s">
        <v>118</v>
      </c>
      <c r="I145" s="97" t="s">
        <v>119</v>
      </c>
      <c r="J145" s="646" t="s">
        <v>120</v>
      </c>
      <c r="K145" s="313" t="s">
        <v>118</v>
      </c>
      <c r="L145" s="102" t="s">
        <v>119</v>
      </c>
      <c r="M145" s="133" t="s">
        <v>120</v>
      </c>
      <c r="O145" s="1613" t="s">
        <v>75</v>
      </c>
      <c r="P145" s="1724"/>
      <c r="Q145" s="1569"/>
      <c r="R145" s="1724"/>
      <c r="S145" s="1569"/>
      <c r="T145" s="1724"/>
      <c r="U145" s="1569"/>
      <c r="V145" s="1724">
        <f t="shared" si="61"/>
        <v>0</v>
      </c>
      <c r="W145" s="1586">
        <f t="shared" si="62"/>
        <v>0</v>
      </c>
      <c r="X145" s="1724">
        <f t="shared" si="63"/>
        <v>0</v>
      </c>
      <c r="Y145" s="1585">
        <f t="shared" si="64"/>
        <v>0</v>
      </c>
      <c r="AA145" s="125" t="s">
        <v>156</v>
      </c>
      <c r="AB145" s="444"/>
      <c r="AC145" s="1961"/>
      <c r="AD145" s="1789"/>
      <c r="AE145" s="1598"/>
      <c r="AF145" s="1789"/>
      <c r="AG145" s="1681"/>
      <c r="AH145" s="1789">
        <f t="shared" si="65"/>
        <v>0</v>
      </c>
      <c r="AI145" s="1586">
        <f t="shared" si="66"/>
        <v>0</v>
      </c>
      <c r="AJ145" s="1789">
        <f t="shared" si="67"/>
        <v>0</v>
      </c>
      <c r="AK145" s="1587">
        <f t="shared" si="68"/>
        <v>0</v>
      </c>
      <c r="AM145" s="1944" t="s">
        <v>75</v>
      </c>
      <c r="AN145" s="847">
        <f>P145+R145+T145</f>
        <v>0</v>
      </c>
      <c r="AO145" s="1994">
        <f t="shared" si="70"/>
        <v>0</v>
      </c>
      <c r="AP145" s="838" t="str">
        <f t="shared" si="71"/>
        <v xml:space="preserve">огурец солёный </v>
      </c>
      <c r="AQ145" s="1801">
        <f t="shared" si="72"/>
        <v>0</v>
      </c>
      <c r="AR145" s="1668">
        <f t="shared" si="73"/>
        <v>0</v>
      </c>
    </row>
    <row r="146" spans="2:44" ht="15.75" customHeight="1" thickBot="1">
      <c r="B146" s="1522" t="s">
        <v>822</v>
      </c>
      <c r="C146" s="238" t="s">
        <v>191</v>
      </c>
      <c r="D146" s="400">
        <v>250</v>
      </c>
      <c r="E146" s="1192" t="s">
        <v>172</v>
      </c>
      <c r="F146" s="251">
        <v>31.25</v>
      </c>
      <c r="G146" s="1077">
        <v>25</v>
      </c>
      <c r="H146" s="324" t="s">
        <v>99</v>
      </c>
      <c r="I146" s="326">
        <v>96</v>
      </c>
      <c r="J146" s="421">
        <v>83</v>
      </c>
      <c r="K146" s="758" t="s">
        <v>86</v>
      </c>
      <c r="L146" s="128">
        <v>56.2</v>
      </c>
      <c r="M146" s="132">
        <v>45</v>
      </c>
      <c r="N146" s="137"/>
      <c r="O146" s="1613" t="s">
        <v>68</v>
      </c>
      <c r="P146" s="1724">
        <f>F136+L135</f>
        <v>19.34</v>
      </c>
      <c r="Q146" s="1586">
        <f>G136+M135</f>
        <v>18.239999999999998</v>
      </c>
      <c r="R146" s="1970"/>
      <c r="S146" s="2021"/>
      <c r="T146" s="1724">
        <f>F164</f>
        <v>3.65</v>
      </c>
      <c r="U146" s="1586">
        <f>G164</f>
        <v>3.65</v>
      </c>
      <c r="V146" s="1724">
        <f t="shared" si="61"/>
        <v>19.34</v>
      </c>
      <c r="W146" s="1586">
        <f t="shared" si="62"/>
        <v>18.239999999999998</v>
      </c>
      <c r="X146" s="1724">
        <f t="shared" si="63"/>
        <v>3.65</v>
      </c>
      <c r="Y146" s="1585">
        <f t="shared" si="64"/>
        <v>3.65</v>
      </c>
      <c r="AA146" s="2004" t="s">
        <v>209</v>
      </c>
      <c r="AB146" s="1779"/>
      <c r="AC146" s="2024"/>
      <c r="AD146" s="1790"/>
      <c r="AE146" s="2005"/>
      <c r="AF146" s="1790"/>
      <c r="AG146" s="2006"/>
      <c r="AH146" s="1790">
        <f t="shared" si="65"/>
        <v>0</v>
      </c>
      <c r="AI146" s="1590">
        <f t="shared" si="66"/>
        <v>0</v>
      </c>
      <c r="AJ146" s="1790">
        <f t="shared" si="67"/>
        <v>0</v>
      </c>
      <c r="AK146" s="2007">
        <f t="shared" si="68"/>
        <v>0</v>
      </c>
      <c r="AM146" s="1944" t="s">
        <v>68</v>
      </c>
      <c r="AN146" s="847">
        <f t="shared" si="69"/>
        <v>22.99</v>
      </c>
      <c r="AO146" s="1994">
        <f t="shared" si="70"/>
        <v>21.889999999999997</v>
      </c>
      <c r="AP146" s="1987" t="str">
        <f t="shared" si="71"/>
        <v>перец сладкий</v>
      </c>
      <c r="AQ146" s="1802">
        <f t="shared" si="72"/>
        <v>0</v>
      </c>
      <c r="AR146" s="1988">
        <f t="shared" si="73"/>
        <v>0</v>
      </c>
    </row>
    <row r="147" spans="2:44" ht="14.25" customHeight="1" thickBot="1">
      <c r="B147" s="246" t="s">
        <v>371</v>
      </c>
      <c r="C147" s="241" t="s">
        <v>635</v>
      </c>
      <c r="D147" s="239" t="s">
        <v>373</v>
      </c>
      <c r="E147" s="192" t="s">
        <v>52</v>
      </c>
      <c r="F147" s="233">
        <v>66.75</v>
      </c>
      <c r="G147" s="257">
        <v>50</v>
      </c>
      <c r="H147" s="185" t="s">
        <v>79</v>
      </c>
      <c r="I147" s="256">
        <v>5</v>
      </c>
      <c r="J147" s="257">
        <v>4</v>
      </c>
      <c r="K147" s="186" t="s">
        <v>112</v>
      </c>
      <c r="L147" s="331">
        <v>16.8</v>
      </c>
      <c r="M147" s="236">
        <v>16.8</v>
      </c>
      <c r="N147" s="137"/>
      <c r="O147" s="1613" t="s">
        <v>170</v>
      </c>
      <c r="P147" s="1724"/>
      <c r="Q147" s="1569"/>
      <c r="R147" s="1724"/>
      <c r="S147" s="1569"/>
      <c r="T147" s="1724"/>
      <c r="U147" s="1569"/>
      <c r="V147" s="1724">
        <f t="shared" si="61"/>
        <v>0</v>
      </c>
      <c r="W147" s="1586">
        <f t="shared" si="62"/>
        <v>0</v>
      </c>
      <c r="X147" s="1724">
        <f t="shared" si="63"/>
        <v>0</v>
      </c>
      <c r="Y147" s="1585">
        <f t="shared" si="64"/>
        <v>0</v>
      </c>
      <c r="AA147" s="2013" t="s">
        <v>96</v>
      </c>
      <c r="AB147" s="1963">
        <f t="shared" ref="AB147:AG147" si="78">SUM(AB132:AB146)</f>
        <v>183.61700000000002</v>
      </c>
      <c r="AC147" s="2049">
        <f t="shared" si="78"/>
        <v>153</v>
      </c>
      <c r="AD147" s="1964">
        <f t="shared" si="78"/>
        <v>169.99</v>
      </c>
      <c r="AE147" s="2012">
        <f t="shared" si="78"/>
        <v>139.6</v>
      </c>
      <c r="AF147" s="1964">
        <f t="shared" si="78"/>
        <v>0.76</v>
      </c>
      <c r="AG147" s="2012">
        <f t="shared" si="78"/>
        <v>0.58699999999999997</v>
      </c>
      <c r="AH147" s="1964">
        <f>AB147+AD147</f>
        <v>353.60700000000003</v>
      </c>
      <c r="AI147" s="2015">
        <f t="shared" si="66"/>
        <v>292.60000000000002</v>
      </c>
      <c r="AJ147" s="1964">
        <f>AD147+AF147</f>
        <v>170.75</v>
      </c>
      <c r="AK147" s="1717">
        <f>SUM(AK132:AK146)</f>
        <v>140.18700000000001</v>
      </c>
      <c r="AM147" s="1944" t="s">
        <v>170</v>
      </c>
      <c r="AN147" s="847">
        <f t="shared" si="69"/>
        <v>0</v>
      </c>
      <c r="AO147" s="1821">
        <f t="shared" si="70"/>
        <v>0</v>
      </c>
      <c r="AP147" s="1990" t="str">
        <f t="shared" si="71"/>
        <v>итого овощ</v>
      </c>
      <c r="AQ147" s="1803">
        <f>AB147+AD147+AF147</f>
        <v>354.36700000000002</v>
      </c>
      <c r="AR147" s="1991">
        <f t="shared" si="73"/>
        <v>293.18700000000001</v>
      </c>
    </row>
    <row r="148" spans="2:44" ht="15.75" customHeight="1">
      <c r="B148" s="156" t="s">
        <v>333</v>
      </c>
      <c r="C148" s="393" t="s">
        <v>334</v>
      </c>
      <c r="D148" s="429">
        <v>180</v>
      </c>
      <c r="E148" s="192" t="s">
        <v>79</v>
      </c>
      <c r="F148" s="233">
        <v>12.5</v>
      </c>
      <c r="G148" s="257">
        <v>10</v>
      </c>
      <c r="H148" s="185" t="s">
        <v>221</v>
      </c>
      <c r="I148" s="276">
        <v>5</v>
      </c>
      <c r="J148" s="269">
        <v>4</v>
      </c>
      <c r="K148" s="185" t="s">
        <v>221</v>
      </c>
      <c r="L148" s="256">
        <v>13.5</v>
      </c>
      <c r="M148" s="257">
        <v>10.8</v>
      </c>
      <c r="O148" s="1613" t="s">
        <v>73</v>
      </c>
      <c r="P148" s="1724"/>
      <c r="Q148" s="1587"/>
      <c r="R148" s="1724"/>
      <c r="S148" s="1587"/>
      <c r="T148" s="1724"/>
      <c r="U148" s="1587"/>
      <c r="V148" s="1724">
        <f t="shared" si="61"/>
        <v>0</v>
      </c>
      <c r="W148" s="1586">
        <f t="shared" si="62"/>
        <v>0</v>
      </c>
      <c r="X148" s="1724">
        <f t="shared" si="63"/>
        <v>0</v>
      </c>
      <c r="Y148" s="1585">
        <f t="shared" si="64"/>
        <v>0</v>
      </c>
      <c r="AA148" s="2008" t="s">
        <v>166</v>
      </c>
      <c r="AB148" s="2051">
        <f>F137+I136+I138+I140+L139+L143</f>
        <v>183.61700000000002</v>
      </c>
      <c r="AC148" s="2052">
        <f>G137+J136+J138+J140+M139+M143</f>
        <v>153</v>
      </c>
      <c r="AD148" s="2053">
        <f>F146+F148+F149+F150+I147+I148+I150+L146+L147+L148</f>
        <v>169.99</v>
      </c>
      <c r="AE148" s="2054">
        <f>G146+G148+G149+G150+J147+J148+J150+M146+M147+M148</f>
        <v>139.60000000000002</v>
      </c>
      <c r="AF148" s="1778"/>
      <c r="AG148" s="2009"/>
      <c r="AH148" s="1788">
        <f t="shared" ref="AH148" si="79">AB148+AD148</f>
        <v>353.60700000000003</v>
      </c>
      <c r="AI148" s="2010"/>
      <c r="AJ148" s="1792">
        <f t="shared" ref="AJ148" si="80">AD148+AF148</f>
        <v>169.99</v>
      </c>
      <c r="AK148" s="1583"/>
      <c r="AM148" s="1944" t="s">
        <v>73</v>
      </c>
      <c r="AN148" s="847">
        <f t="shared" si="69"/>
        <v>0</v>
      </c>
      <c r="AO148" s="1995">
        <f t="shared" si="70"/>
        <v>0</v>
      </c>
      <c r="AP148" s="1989" t="str">
        <f t="shared" si="71"/>
        <v>всего овощей</v>
      </c>
      <c r="AQ148" s="1800">
        <f t="shared" si="72"/>
        <v>353.60700000000003</v>
      </c>
      <c r="AR148" s="1989"/>
    </row>
    <row r="149" spans="2:44" ht="18" customHeight="1">
      <c r="B149" s="1198" t="s">
        <v>637</v>
      </c>
      <c r="C149" s="283" t="s">
        <v>230</v>
      </c>
      <c r="D149" s="429">
        <v>200</v>
      </c>
      <c r="E149" s="500" t="s">
        <v>221</v>
      </c>
      <c r="F149" s="251">
        <v>12</v>
      </c>
      <c r="G149" s="1077">
        <v>10</v>
      </c>
      <c r="H149" s="186" t="s">
        <v>103</v>
      </c>
      <c r="I149" s="276">
        <v>5</v>
      </c>
      <c r="J149" s="269">
        <v>5</v>
      </c>
      <c r="K149" s="270" t="s">
        <v>103</v>
      </c>
      <c r="L149" s="234">
        <v>4.8</v>
      </c>
      <c r="M149" s="269">
        <v>4.8</v>
      </c>
      <c r="O149" s="1613" t="s">
        <v>54</v>
      </c>
      <c r="P149" s="1724"/>
      <c r="Q149" s="1587"/>
      <c r="R149" s="1966"/>
      <c r="S149" s="1587"/>
      <c r="T149" s="1724"/>
      <c r="U149" s="1587"/>
      <c r="V149" s="1724">
        <f t="shared" si="61"/>
        <v>0</v>
      </c>
      <c r="W149" s="1586">
        <f t="shared" si="62"/>
        <v>0</v>
      </c>
      <c r="X149" s="1724">
        <f t="shared" si="63"/>
        <v>0</v>
      </c>
      <c r="Y149" s="1585">
        <f t="shared" si="64"/>
        <v>0</v>
      </c>
      <c r="AA149" s="1872" t="s">
        <v>878</v>
      </c>
      <c r="AB149" s="1781"/>
      <c r="AC149" s="1641"/>
      <c r="AD149" s="444"/>
      <c r="AE149" s="1585"/>
      <c r="AF149" s="444"/>
      <c r="AG149" s="1757"/>
      <c r="AH149" s="1789"/>
      <c r="AI149" s="1766"/>
      <c r="AJ149" s="1789"/>
      <c r="AK149" s="1645"/>
      <c r="AM149" s="1944" t="s">
        <v>54</v>
      </c>
      <c r="AN149" s="847">
        <f t="shared" si="69"/>
        <v>0</v>
      </c>
      <c r="AO149" s="1995">
        <f t="shared" si="70"/>
        <v>0</v>
      </c>
      <c r="AP149" s="1659" t="s">
        <v>878</v>
      </c>
      <c r="AQ149" s="1830"/>
      <c r="AR149" s="71"/>
    </row>
    <row r="150" spans="2:44" ht="16.5" customHeight="1">
      <c r="B150" s="754"/>
      <c r="C150" s="167" t="s">
        <v>318</v>
      </c>
      <c r="D150" s="341"/>
      <c r="E150" s="192" t="s">
        <v>471</v>
      </c>
      <c r="F150" s="233">
        <v>10.74</v>
      </c>
      <c r="G150" s="257">
        <v>7</v>
      </c>
      <c r="H150" s="185" t="s">
        <v>112</v>
      </c>
      <c r="I150" s="233">
        <v>7</v>
      </c>
      <c r="J150" s="235">
        <v>7</v>
      </c>
      <c r="K150" s="1186" t="s">
        <v>632</v>
      </c>
      <c r="L150" s="8">
        <v>0.7</v>
      </c>
      <c r="M150" s="1187">
        <v>0.7</v>
      </c>
      <c r="O150" s="1613" t="s">
        <v>78</v>
      </c>
      <c r="P150" s="1724">
        <f>I137</f>
        <v>1.35</v>
      </c>
      <c r="Q150" s="1629">
        <f>J137</f>
        <v>1.35</v>
      </c>
      <c r="R150" s="1724"/>
      <c r="S150" s="1587"/>
      <c r="T150" s="1724"/>
      <c r="U150" s="1587"/>
      <c r="V150" s="1724">
        <f t="shared" si="61"/>
        <v>1.35</v>
      </c>
      <c r="W150" s="1586">
        <f t="shared" si="62"/>
        <v>1.35</v>
      </c>
      <c r="X150" s="1724">
        <f t="shared" si="63"/>
        <v>0</v>
      </c>
      <c r="Y150" s="1585">
        <f t="shared" si="64"/>
        <v>0</v>
      </c>
      <c r="AA150" s="1873" t="s">
        <v>879</v>
      </c>
      <c r="AB150" s="1777"/>
      <c r="AC150" s="1878"/>
      <c r="AD150" s="1680">
        <f>F159</f>
        <v>124.85</v>
      </c>
      <c r="AE150" s="1882">
        <f>G159</f>
        <v>110</v>
      </c>
      <c r="AF150" s="1789">
        <f>L166</f>
        <v>33.75</v>
      </c>
      <c r="AG150" s="1886">
        <f>M166</f>
        <v>30.5</v>
      </c>
      <c r="AH150" s="1789">
        <f t="shared" ref="AH150:AH169" si="81">AB150+AD150</f>
        <v>124.85</v>
      </c>
      <c r="AI150" s="1890">
        <f>AC150+AE150</f>
        <v>110</v>
      </c>
      <c r="AJ150" s="1789">
        <f t="shared" ref="AJ150:AJ169" si="82">AD150+AF150</f>
        <v>158.6</v>
      </c>
      <c r="AK150" s="1893">
        <f>AE150+AG150</f>
        <v>140.5</v>
      </c>
      <c r="AM150" s="1944" t="s">
        <v>78</v>
      </c>
      <c r="AN150" s="847">
        <f t="shared" si="69"/>
        <v>1.35</v>
      </c>
      <c r="AO150" s="1995">
        <f t="shared" si="70"/>
        <v>1.35</v>
      </c>
      <c r="AP150" s="1660" t="s">
        <v>879</v>
      </c>
      <c r="AQ150" s="1840">
        <f>AB150+AD150+AF150</f>
        <v>158.6</v>
      </c>
      <c r="AR150" s="1667">
        <f>AC150+AE150+AG150</f>
        <v>140.5</v>
      </c>
    </row>
    <row r="151" spans="2:44" ht="15" customHeight="1">
      <c r="B151" s="1191" t="s">
        <v>10</v>
      </c>
      <c r="C151" s="241" t="s">
        <v>11</v>
      </c>
      <c r="D151" s="239">
        <v>60</v>
      </c>
      <c r="E151" s="500" t="s">
        <v>95</v>
      </c>
      <c r="F151" s="276">
        <v>5</v>
      </c>
      <c r="G151" s="257">
        <v>5</v>
      </c>
      <c r="H151" s="1145" t="s">
        <v>92</v>
      </c>
      <c r="I151" s="251">
        <v>2</v>
      </c>
      <c r="J151" s="255">
        <v>2</v>
      </c>
      <c r="K151" s="270" t="s">
        <v>633</v>
      </c>
      <c r="L151" s="234">
        <v>0.3</v>
      </c>
      <c r="M151" s="269">
        <v>0.3</v>
      </c>
      <c r="N151" s="1157"/>
      <c r="O151" s="1613" t="s">
        <v>95</v>
      </c>
      <c r="P151" s="1724">
        <f>I139+L136+L140</f>
        <v>7.6899999999999995</v>
      </c>
      <c r="Q151" s="1586">
        <f>J139+M136+M140</f>
        <v>7.6899999999999995</v>
      </c>
      <c r="R151" s="1724">
        <f>F151+I157</f>
        <v>10</v>
      </c>
      <c r="S151" s="1586">
        <f>G151+J157</f>
        <v>10</v>
      </c>
      <c r="T151" s="1724"/>
      <c r="U151" s="1586"/>
      <c r="V151" s="1724">
        <f t="shared" si="61"/>
        <v>17.689999999999998</v>
      </c>
      <c r="W151" s="1586">
        <f t="shared" si="62"/>
        <v>17.689999999999998</v>
      </c>
      <c r="X151" s="1724">
        <f t="shared" si="63"/>
        <v>10</v>
      </c>
      <c r="Y151" s="1585">
        <f t="shared" si="64"/>
        <v>10</v>
      </c>
      <c r="AA151" s="1874" t="s">
        <v>880</v>
      </c>
      <c r="AB151" s="1782"/>
      <c r="AC151" s="1879"/>
      <c r="AD151" s="444"/>
      <c r="AE151" s="1883"/>
      <c r="AF151" s="1793"/>
      <c r="AG151" s="1887"/>
      <c r="AH151" s="1789">
        <f t="shared" si="81"/>
        <v>0</v>
      </c>
      <c r="AI151" s="1890">
        <f>AC151+AE151</f>
        <v>0</v>
      </c>
      <c r="AJ151" s="1789">
        <f t="shared" si="82"/>
        <v>0</v>
      </c>
      <c r="AK151" s="1893">
        <f>AE151+AG151</f>
        <v>0</v>
      </c>
      <c r="AM151" s="1944" t="s">
        <v>95</v>
      </c>
      <c r="AN151" s="847">
        <f t="shared" si="69"/>
        <v>17.689999999999998</v>
      </c>
      <c r="AO151" s="1995">
        <f t="shared" si="70"/>
        <v>17.689999999999998</v>
      </c>
      <c r="AP151" s="1661" t="s">
        <v>880</v>
      </c>
      <c r="AQ151" s="1840">
        <f t="shared" ref="AQ151:AQ169" si="83">AB151+AD151+AF151</f>
        <v>0</v>
      </c>
      <c r="AR151" s="1667">
        <f t="shared" ref="AR151:AR169" si="84">AC151+AE151+AG151</f>
        <v>0</v>
      </c>
    </row>
    <row r="152" spans="2:44" ht="17.25" customHeight="1" thickBot="1">
      <c r="B152" s="289" t="s">
        <v>10</v>
      </c>
      <c r="C152" s="241" t="s">
        <v>792</v>
      </c>
      <c r="D152" s="239">
        <v>40</v>
      </c>
      <c r="E152" s="192" t="s">
        <v>61</v>
      </c>
      <c r="F152" s="272">
        <v>1.1000000000000001</v>
      </c>
      <c r="G152" s="273">
        <v>1.1000000000000001</v>
      </c>
      <c r="H152" s="270" t="s">
        <v>222</v>
      </c>
      <c r="I152" s="234">
        <v>1E-3</v>
      </c>
      <c r="J152" s="269">
        <v>1E-3</v>
      </c>
      <c r="K152" s="195" t="s">
        <v>61</v>
      </c>
      <c r="L152" s="277">
        <v>0.2</v>
      </c>
      <c r="M152" s="290">
        <v>0.2</v>
      </c>
      <c r="O152" s="1613" t="s">
        <v>103</v>
      </c>
      <c r="P152" s="1724">
        <f>F141</f>
        <v>5.46</v>
      </c>
      <c r="Q152" s="1569">
        <f>G141</f>
        <v>5.46</v>
      </c>
      <c r="R152" s="1724">
        <f>I149+L149</f>
        <v>9.8000000000000007</v>
      </c>
      <c r="S152" s="1569">
        <f>J149+M149</f>
        <v>9.8000000000000007</v>
      </c>
      <c r="T152" s="1724">
        <f>I166</f>
        <v>4</v>
      </c>
      <c r="U152" s="1569">
        <f>J166</f>
        <v>4</v>
      </c>
      <c r="V152" s="1724">
        <f t="shared" si="61"/>
        <v>15.260000000000002</v>
      </c>
      <c r="W152" s="1586">
        <f t="shared" si="62"/>
        <v>15.260000000000002</v>
      </c>
      <c r="X152" s="1724">
        <f t="shared" si="63"/>
        <v>13.8</v>
      </c>
      <c r="Y152" s="1585">
        <f t="shared" si="64"/>
        <v>13.8</v>
      </c>
      <c r="AA152" s="1875" t="s">
        <v>881</v>
      </c>
      <c r="AB152" s="1782"/>
      <c r="AC152" s="1879"/>
      <c r="AD152" s="444"/>
      <c r="AE152" s="1883"/>
      <c r="AF152" s="1789"/>
      <c r="AG152" s="1887"/>
      <c r="AH152" s="1789">
        <f t="shared" si="81"/>
        <v>0</v>
      </c>
      <c r="AI152" s="1890">
        <f>AC152+AE152</f>
        <v>0</v>
      </c>
      <c r="AJ152" s="1789">
        <f t="shared" si="82"/>
        <v>0</v>
      </c>
      <c r="AK152" s="1893">
        <f>AE152+AG152</f>
        <v>0</v>
      </c>
      <c r="AM152" s="1944" t="s">
        <v>103</v>
      </c>
      <c r="AN152" s="847">
        <f t="shared" si="69"/>
        <v>19.260000000000002</v>
      </c>
      <c r="AO152" s="1821">
        <f t="shared" si="70"/>
        <v>19.260000000000002</v>
      </c>
      <c r="AP152" s="1662" t="s">
        <v>881</v>
      </c>
      <c r="AQ152" s="1840">
        <f t="shared" si="83"/>
        <v>0</v>
      </c>
      <c r="AR152" s="1667">
        <f t="shared" si="84"/>
        <v>0</v>
      </c>
    </row>
    <row r="153" spans="2:44" ht="17.25" customHeight="1" thickBot="1">
      <c r="B153" s="266" t="s">
        <v>1004</v>
      </c>
      <c r="C153" s="241" t="s">
        <v>1009</v>
      </c>
      <c r="D153" s="239">
        <v>110</v>
      </c>
      <c r="E153" s="192" t="s">
        <v>222</v>
      </c>
      <c r="F153" s="233">
        <v>0.01</v>
      </c>
      <c r="G153" s="257">
        <v>0.01</v>
      </c>
      <c r="H153" s="916" t="s">
        <v>337</v>
      </c>
      <c r="I153" s="38"/>
      <c r="J153" s="38"/>
      <c r="K153" s="761" t="s">
        <v>230</v>
      </c>
      <c r="L153" s="286"/>
      <c r="M153" s="471"/>
      <c r="O153" s="1613" t="s">
        <v>906</v>
      </c>
      <c r="P153" s="1979">
        <f>Q153/1000/0.04</f>
        <v>2.3E-2</v>
      </c>
      <c r="Q153" s="1586">
        <f>G138</f>
        <v>0.92</v>
      </c>
      <c r="R153" s="1724"/>
      <c r="S153" s="1586"/>
      <c r="T153" s="1979">
        <f>U153/1000/0.04</f>
        <v>3.4999999999999996E-2</v>
      </c>
      <c r="U153" s="1586">
        <f>J162</f>
        <v>1.4</v>
      </c>
      <c r="V153" s="1724">
        <f t="shared" si="61"/>
        <v>2.3E-2</v>
      </c>
      <c r="W153" s="1586">
        <f t="shared" si="62"/>
        <v>0.92</v>
      </c>
      <c r="X153" s="1724">
        <f t="shared" si="63"/>
        <v>3.4999999999999996E-2</v>
      </c>
      <c r="Y153" s="1585">
        <f t="shared" si="64"/>
        <v>1.4</v>
      </c>
      <c r="AA153" s="1876" t="s">
        <v>882</v>
      </c>
      <c r="AB153" s="1783"/>
      <c r="AC153" s="1880"/>
      <c r="AD153" s="1779"/>
      <c r="AE153" s="1884"/>
      <c r="AF153" s="1790"/>
      <c r="AG153" s="1888"/>
      <c r="AH153" s="1790">
        <f t="shared" si="81"/>
        <v>0</v>
      </c>
      <c r="AI153" s="1891"/>
      <c r="AJ153" s="1812">
        <f t="shared" si="82"/>
        <v>0</v>
      </c>
      <c r="AK153" s="2046"/>
      <c r="AM153" s="1944" t="s">
        <v>162</v>
      </c>
      <c r="AN153" s="847">
        <f t="shared" si="69"/>
        <v>5.7999999999999996E-2</v>
      </c>
      <c r="AO153" s="1995">
        <f t="shared" si="70"/>
        <v>2.3199999999999998</v>
      </c>
      <c r="AP153" s="1707" t="s">
        <v>882</v>
      </c>
      <c r="AQ153" s="1840">
        <f t="shared" si="83"/>
        <v>0</v>
      </c>
      <c r="AR153" s="1667">
        <f t="shared" si="84"/>
        <v>0</v>
      </c>
    </row>
    <row r="154" spans="2:44" ht="16.5" customHeight="1" thickBot="1">
      <c r="B154" s="61"/>
      <c r="C154" s="999"/>
      <c r="D154" s="71"/>
      <c r="E154" s="1073" t="s">
        <v>975</v>
      </c>
      <c r="F154" s="233">
        <v>187.5</v>
      </c>
      <c r="G154" s="267"/>
      <c r="H154" s="414" t="s">
        <v>118</v>
      </c>
      <c r="I154" s="252" t="s">
        <v>119</v>
      </c>
      <c r="J154" s="1491" t="s">
        <v>120</v>
      </c>
      <c r="K154" s="823" t="s">
        <v>318</v>
      </c>
      <c r="L154" s="334"/>
      <c r="M154" s="1069"/>
      <c r="O154" s="1613" t="s">
        <v>57</v>
      </c>
      <c r="P154" s="1724"/>
      <c r="Q154" s="1600"/>
      <c r="R154" s="1724">
        <f>L150+L157</f>
        <v>7.7</v>
      </c>
      <c r="S154" s="1600">
        <f>M157+M150</f>
        <v>7.7</v>
      </c>
      <c r="T154" s="1724">
        <f>L164</f>
        <v>0.5</v>
      </c>
      <c r="U154" s="1600">
        <f>M164</f>
        <v>0.5</v>
      </c>
      <c r="V154" s="1724">
        <f t="shared" si="61"/>
        <v>7.7</v>
      </c>
      <c r="W154" s="1586">
        <f t="shared" si="62"/>
        <v>7.7</v>
      </c>
      <c r="X154" s="1724">
        <f t="shared" si="63"/>
        <v>8.1999999999999993</v>
      </c>
      <c r="Y154" s="1585">
        <f t="shared" si="64"/>
        <v>8.1999999999999993</v>
      </c>
      <c r="AA154" s="1877" t="s">
        <v>883</v>
      </c>
      <c r="AB154" s="1896">
        <f>SUM(AB150:AB153)</f>
        <v>0</v>
      </c>
      <c r="AC154" s="1881">
        <f>AC150+AC151+AC152+AC153</f>
        <v>0</v>
      </c>
      <c r="AD154" s="1968">
        <f>AD150+AD151+AD152+AD153</f>
        <v>124.85</v>
      </c>
      <c r="AE154" s="1885">
        <f>AE150+AE151+AE152+AE153</f>
        <v>110</v>
      </c>
      <c r="AF154" s="1898">
        <f>SUM(AF150:AF153)</f>
        <v>33.75</v>
      </c>
      <c r="AG154" s="1889">
        <f>SUM(AG150:AG153)</f>
        <v>30.5</v>
      </c>
      <c r="AH154" s="1898">
        <f t="shared" si="81"/>
        <v>124.85</v>
      </c>
      <c r="AI154" s="1892">
        <f>AC154+AE154</f>
        <v>110</v>
      </c>
      <c r="AJ154" s="1898">
        <f t="shared" si="82"/>
        <v>158.6</v>
      </c>
      <c r="AK154" s="1895">
        <f>AE154+AG154</f>
        <v>140.5</v>
      </c>
      <c r="AM154" s="1944" t="s">
        <v>57</v>
      </c>
      <c r="AN154" s="847">
        <f t="shared" si="69"/>
        <v>8.1999999999999993</v>
      </c>
      <c r="AO154" s="1995">
        <f t="shared" si="70"/>
        <v>8.1999999999999993</v>
      </c>
      <c r="AP154" s="1719" t="s">
        <v>883</v>
      </c>
      <c r="AQ154" s="1998">
        <f>AB154+AD154+AF154</f>
        <v>158.6</v>
      </c>
      <c r="AR154" s="1818">
        <f>AC154+AE154+AG154</f>
        <v>140.5</v>
      </c>
    </row>
    <row r="155" spans="2:44" ht="13.5" customHeight="1" thickBot="1">
      <c r="B155" s="61"/>
      <c r="C155" s="999"/>
      <c r="D155" s="71"/>
      <c r="E155" s="500" t="s">
        <v>99</v>
      </c>
      <c r="F155" s="251">
        <v>2.9449999999999998</v>
      </c>
      <c r="G155" s="481">
        <v>2.5</v>
      </c>
      <c r="H155" s="100" t="s">
        <v>208</v>
      </c>
      <c r="I155" s="123">
        <v>38.85</v>
      </c>
      <c r="J155" s="416">
        <v>38.85</v>
      </c>
      <c r="K155" s="307" t="s">
        <v>118</v>
      </c>
      <c r="L155" s="102" t="s">
        <v>119</v>
      </c>
      <c r="M155" s="133" t="s">
        <v>120</v>
      </c>
      <c r="O155" s="1613" t="s">
        <v>171</v>
      </c>
      <c r="P155" s="1724"/>
      <c r="Q155" s="1569"/>
      <c r="R155" s="1724"/>
      <c r="S155" s="1569"/>
      <c r="T155" s="1724">
        <f>D165</f>
        <v>21</v>
      </c>
      <c r="U155" s="1569">
        <f>D165</f>
        <v>21</v>
      </c>
      <c r="V155" s="1724">
        <f t="shared" si="61"/>
        <v>0</v>
      </c>
      <c r="W155" s="1586">
        <f t="shared" si="62"/>
        <v>0</v>
      </c>
      <c r="X155" s="1724">
        <f t="shared" si="63"/>
        <v>21</v>
      </c>
      <c r="Y155" s="1585">
        <f t="shared" si="64"/>
        <v>21</v>
      </c>
      <c r="AA155" s="1702" t="s">
        <v>896</v>
      </c>
      <c r="AB155" s="1784"/>
      <c r="AC155" s="1703"/>
      <c r="AD155" s="1788">
        <f>F155+I146</f>
        <v>98.944999999999993</v>
      </c>
      <c r="AE155" s="1704">
        <f>G155+J146</f>
        <v>85.5</v>
      </c>
      <c r="AF155" s="1784"/>
      <c r="AG155" s="1703"/>
      <c r="AH155" s="1788">
        <f t="shared" ref="AH155:AH161" si="85">AB155+AD155</f>
        <v>98.944999999999993</v>
      </c>
      <c r="AI155" s="1769">
        <f>AC155+AE155</f>
        <v>85.5</v>
      </c>
      <c r="AJ155" s="1788">
        <f t="shared" ref="AJ155:AJ161" si="86">AD155+AF155</f>
        <v>98.944999999999993</v>
      </c>
      <c r="AK155" s="1806">
        <f>AE155+AG155</f>
        <v>85.5</v>
      </c>
      <c r="AM155" s="1944" t="s">
        <v>171</v>
      </c>
      <c r="AN155" s="847">
        <f t="shared" si="69"/>
        <v>21</v>
      </c>
      <c r="AO155" s="1995">
        <f t="shared" si="70"/>
        <v>21</v>
      </c>
      <c r="AP155" s="1702" t="s">
        <v>389</v>
      </c>
      <c r="AQ155" s="1840">
        <f t="shared" si="83"/>
        <v>98.944999999999993</v>
      </c>
      <c r="AR155" s="1667">
        <f t="shared" si="84"/>
        <v>85.5</v>
      </c>
    </row>
    <row r="156" spans="2:44" ht="16.5" customHeight="1" thickBot="1">
      <c r="B156" s="61"/>
      <c r="C156" s="999"/>
      <c r="D156" s="71"/>
      <c r="E156" s="1193" t="s">
        <v>634</v>
      </c>
      <c r="F156" s="233"/>
      <c r="G156" s="1194">
        <v>1.26</v>
      </c>
      <c r="H156" s="185" t="s">
        <v>94</v>
      </c>
      <c r="I156" s="233">
        <v>143.5</v>
      </c>
      <c r="J156" s="193">
        <v>143.5</v>
      </c>
      <c r="K156" s="100" t="s">
        <v>100</v>
      </c>
      <c r="L156" s="123">
        <v>26.5</v>
      </c>
      <c r="M156" s="309">
        <v>25</v>
      </c>
      <c r="O156" s="1613" t="s">
        <v>59</v>
      </c>
      <c r="P156" s="1724"/>
      <c r="Q156" s="1569"/>
      <c r="R156" s="1724"/>
      <c r="S156" s="1569"/>
      <c r="T156" s="1724">
        <f>L162</f>
        <v>1</v>
      </c>
      <c r="U156" s="1569">
        <f>M162</f>
        <v>1</v>
      </c>
      <c r="V156" s="1724">
        <f t="shared" si="61"/>
        <v>0</v>
      </c>
      <c r="W156" s="1586">
        <f t="shared" si="62"/>
        <v>0</v>
      </c>
      <c r="X156" s="1724">
        <f t="shared" si="63"/>
        <v>1</v>
      </c>
      <c r="Y156" s="1585">
        <f t="shared" si="64"/>
        <v>1</v>
      </c>
      <c r="AA156" s="1692" t="s">
        <v>897</v>
      </c>
      <c r="AB156" s="1783"/>
      <c r="AC156" s="1693"/>
      <c r="AD156" s="1790"/>
      <c r="AE156" s="1694"/>
      <c r="AF156" s="1783"/>
      <c r="AG156" s="1693"/>
      <c r="AH156" s="1790">
        <f t="shared" si="85"/>
        <v>0</v>
      </c>
      <c r="AI156" s="1770">
        <f>AC156+AE156</f>
        <v>0</v>
      </c>
      <c r="AJ156" s="1790">
        <f t="shared" si="86"/>
        <v>0</v>
      </c>
      <c r="AK156" s="1807">
        <f>AE156+AG156</f>
        <v>0</v>
      </c>
      <c r="AM156" s="1944" t="s">
        <v>59</v>
      </c>
      <c r="AN156" s="847">
        <f t="shared" si="69"/>
        <v>1</v>
      </c>
      <c r="AO156" s="1995">
        <f t="shared" si="70"/>
        <v>1</v>
      </c>
      <c r="AP156" s="1692" t="s">
        <v>188</v>
      </c>
      <c r="AQ156" s="1840">
        <f t="shared" si="83"/>
        <v>0</v>
      </c>
      <c r="AR156" s="1667">
        <f t="shared" si="84"/>
        <v>0</v>
      </c>
    </row>
    <row r="157" spans="2:44" ht="14.25" customHeight="1" thickBot="1">
      <c r="B157" s="61"/>
      <c r="C157" s="999"/>
      <c r="D157" s="71"/>
      <c r="E157" s="473" t="s">
        <v>1009</v>
      </c>
      <c r="F157" s="38"/>
      <c r="G157" s="50"/>
      <c r="H157" s="249" t="s">
        <v>95</v>
      </c>
      <c r="I157" s="302">
        <v>5</v>
      </c>
      <c r="J157" s="1158">
        <v>5</v>
      </c>
      <c r="K157" s="185" t="s">
        <v>57</v>
      </c>
      <c r="L157" s="233">
        <v>7</v>
      </c>
      <c r="M157" s="247">
        <v>7</v>
      </c>
      <c r="O157" s="1613" t="s">
        <v>169</v>
      </c>
      <c r="P157" s="1724"/>
      <c r="Q157" s="1569"/>
      <c r="R157" s="1724"/>
      <c r="S157" s="1569"/>
      <c r="T157" s="1724"/>
      <c r="U157" s="1569"/>
      <c r="V157" s="1724">
        <f t="shared" si="61"/>
        <v>0</v>
      </c>
      <c r="W157" s="1586">
        <f t="shared" si="62"/>
        <v>0</v>
      </c>
      <c r="X157" s="1724">
        <f t="shared" si="63"/>
        <v>0</v>
      </c>
      <c r="Y157" s="1585">
        <f t="shared" si="64"/>
        <v>0</v>
      </c>
      <c r="AA157" s="1721" t="s">
        <v>876</v>
      </c>
      <c r="AB157" s="1867">
        <f t="shared" ref="AB157:AG157" si="87">SUM(AB155:AB156)</f>
        <v>0</v>
      </c>
      <c r="AC157" s="1866">
        <f t="shared" si="87"/>
        <v>0</v>
      </c>
      <c r="AD157" s="1865">
        <f t="shared" si="87"/>
        <v>98.944999999999993</v>
      </c>
      <c r="AE157" s="1698">
        <f t="shared" si="87"/>
        <v>85.5</v>
      </c>
      <c r="AF157" s="1867">
        <f t="shared" si="87"/>
        <v>0</v>
      </c>
      <c r="AG157" s="1866">
        <f t="shared" si="87"/>
        <v>0</v>
      </c>
      <c r="AH157" s="1796">
        <f t="shared" si="85"/>
        <v>98.944999999999993</v>
      </c>
      <c r="AI157" s="1771">
        <f>AC157+AE157</f>
        <v>85.5</v>
      </c>
      <c r="AJ157" s="1796">
        <f t="shared" si="86"/>
        <v>98.944999999999993</v>
      </c>
      <c r="AK157" s="1699">
        <f>AE157+AG157</f>
        <v>85.5</v>
      </c>
      <c r="AM157" s="1944" t="s">
        <v>169</v>
      </c>
      <c r="AN157" s="847">
        <f t="shared" si="69"/>
        <v>0</v>
      </c>
      <c r="AO157" s="1995">
        <f t="shared" si="70"/>
        <v>0</v>
      </c>
      <c r="AP157" s="1721" t="s">
        <v>876</v>
      </c>
      <c r="AQ157" s="1997">
        <f>AB157+AD157+AF157</f>
        <v>98.944999999999993</v>
      </c>
      <c r="AR157" s="1669">
        <f>AC157+AE157+AG157</f>
        <v>85.5</v>
      </c>
    </row>
    <row r="158" spans="2:44" ht="17.25" customHeight="1" thickBot="1">
      <c r="B158" s="61"/>
      <c r="C158" s="999"/>
      <c r="D158" s="71"/>
      <c r="E158" s="281" t="s">
        <v>118</v>
      </c>
      <c r="F158" s="97" t="s">
        <v>119</v>
      </c>
      <c r="G158" s="135" t="s">
        <v>120</v>
      </c>
      <c r="H158" s="513"/>
      <c r="I158" s="184"/>
      <c r="J158" s="165"/>
      <c r="K158" s="185" t="s">
        <v>94</v>
      </c>
      <c r="L158" s="233">
        <v>190</v>
      </c>
      <c r="M158" s="247">
        <v>190</v>
      </c>
      <c r="O158" s="1613" t="s">
        <v>168</v>
      </c>
      <c r="P158" s="1724"/>
      <c r="Q158" s="1569"/>
      <c r="R158" s="1724"/>
      <c r="S158" s="1569"/>
      <c r="T158" s="1724"/>
      <c r="U158" s="1569"/>
      <c r="V158" s="1724">
        <f t="shared" si="61"/>
        <v>0</v>
      </c>
      <c r="W158" s="1586">
        <f t="shared" si="62"/>
        <v>0</v>
      </c>
      <c r="X158" s="1724">
        <f t="shared" si="63"/>
        <v>0</v>
      </c>
      <c r="Y158" s="1585">
        <f t="shared" si="64"/>
        <v>0</v>
      </c>
      <c r="AA158" s="1843" t="s">
        <v>387</v>
      </c>
      <c r="AB158" s="1900"/>
      <c r="AC158" s="1901"/>
      <c r="AD158" s="1899"/>
      <c r="AE158" s="1846"/>
      <c r="AF158" s="1900"/>
      <c r="AG158" s="1901"/>
      <c r="AH158" s="1788">
        <f t="shared" si="85"/>
        <v>0</v>
      </c>
      <c r="AI158" s="1852"/>
      <c r="AJ158" s="1788">
        <f t="shared" si="86"/>
        <v>0</v>
      </c>
      <c r="AK158" s="1856"/>
      <c r="AM158" s="1944" t="s">
        <v>168</v>
      </c>
      <c r="AN158" s="847">
        <f t="shared" si="69"/>
        <v>0</v>
      </c>
      <c r="AO158" s="1995">
        <f t="shared" si="70"/>
        <v>0</v>
      </c>
      <c r="AP158" s="1843" t="s">
        <v>387</v>
      </c>
      <c r="AQ158" s="1840">
        <f>AB158+AD158+AF158</f>
        <v>0</v>
      </c>
      <c r="AR158" s="1667">
        <f>AC158+AE158+AG158</f>
        <v>0</v>
      </c>
    </row>
    <row r="159" spans="2:44" ht="15" customHeight="1" thickBot="1">
      <c r="B159" s="1139" t="s">
        <v>583</v>
      </c>
      <c r="C159" s="1197"/>
      <c r="D159" s="1137">
        <f>D145+D146+D148+D149+D151+D152+D153+D150+50+50</f>
        <v>1000</v>
      </c>
      <c r="E159" s="259" t="s">
        <v>328</v>
      </c>
      <c r="F159" s="2468">
        <v>124.85</v>
      </c>
      <c r="G159" s="131">
        <v>110</v>
      </c>
      <c r="K159" s="57"/>
      <c r="L159" s="29"/>
      <c r="M159" s="74"/>
      <c r="O159" s="1613" t="s">
        <v>89</v>
      </c>
      <c r="P159" s="1724"/>
      <c r="Q159" s="1569"/>
      <c r="R159" s="1724"/>
      <c r="S159" s="1569"/>
      <c r="T159" s="1724"/>
      <c r="U159" s="1569"/>
      <c r="V159" s="1724">
        <f t="shared" si="61"/>
        <v>0</v>
      </c>
      <c r="W159" s="1586">
        <f t="shared" si="62"/>
        <v>0</v>
      </c>
      <c r="X159" s="1724">
        <f t="shared" si="63"/>
        <v>0</v>
      </c>
      <c r="Y159" s="1585">
        <f t="shared" si="64"/>
        <v>0</v>
      </c>
      <c r="AA159" s="1844" t="s">
        <v>121</v>
      </c>
      <c r="AB159" s="1902"/>
      <c r="AC159" s="1848"/>
      <c r="AD159" s="1965"/>
      <c r="AE159" s="1904"/>
      <c r="AF159" s="1902"/>
      <c r="AG159" s="1848"/>
      <c r="AH159" s="1789">
        <f t="shared" si="85"/>
        <v>0</v>
      </c>
      <c r="AI159" s="1853">
        <f>AC159+AE159</f>
        <v>0</v>
      </c>
      <c r="AJ159" s="1789">
        <f t="shared" si="86"/>
        <v>0</v>
      </c>
      <c r="AK159" s="1857">
        <f t="shared" ref="AK159:AK170" si="88">AE159+AG159</f>
        <v>0</v>
      </c>
      <c r="AM159" s="1944" t="s">
        <v>89</v>
      </c>
      <c r="AN159" s="847">
        <f t="shared" si="69"/>
        <v>0</v>
      </c>
      <c r="AO159" s="1995">
        <f t="shared" si="70"/>
        <v>0</v>
      </c>
      <c r="AP159" s="1844" t="s">
        <v>121</v>
      </c>
      <c r="AQ159" s="1840">
        <f t="shared" si="83"/>
        <v>0</v>
      </c>
      <c r="AR159" s="1667">
        <f t="shared" si="84"/>
        <v>0</v>
      </c>
    </row>
    <row r="160" spans="2:44" ht="12.75" customHeight="1" thickBot="1">
      <c r="B160" s="403"/>
      <c r="C160" s="162" t="s">
        <v>324</v>
      </c>
      <c r="D160" s="752"/>
      <c r="E160" s="2378" t="s">
        <v>967</v>
      </c>
      <c r="F160" s="880"/>
      <c r="G160" s="312"/>
      <c r="H160" s="312"/>
      <c r="I160" s="38"/>
      <c r="J160" s="38"/>
      <c r="K160" s="473" t="s">
        <v>453</v>
      </c>
      <c r="L160" s="969"/>
      <c r="M160" s="50"/>
      <c r="O160" s="1613" t="s">
        <v>61</v>
      </c>
      <c r="P160" s="1724">
        <f>F140+I142+L137</f>
        <v>1.9000000000000001</v>
      </c>
      <c r="Q160" s="1569">
        <f>G140+J142+M137</f>
        <v>1.9000000000000001</v>
      </c>
      <c r="R160" s="1724">
        <f>F152+L152</f>
        <v>1.3</v>
      </c>
      <c r="S160" s="1569">
        <f>G152+M152</f>
        <v>1.3</v>
      </c>
      <c r="T160" s="1727">
        <f>I165</f>
        <v>1</v>
      </c>
      <c r="U160" s="1569">
        <f>J165</f>
        <v>1</v>
      </c>
      <c r="V160" s="1724">
        <f>P160+R160</f>
        <v>3.2</v>
      </c>
      <c r="W160" s="1586">
        <f t="shared" si="62"/>
        <v>3.2</v>
      </c>
      <c r="X160" s="1724">
        <f t="shared" si="63"/>
        <v>2.2999999999999998</v>
      </c>
      <c r="Y160" s="1585">
        <f t="shared" si="64"/>
        <v>2.2999999999999998</v>
      </c>
      <c r="AA160" s="1845" t="s">
        <v>388</v>
      </c>
      <c r="AB160" s="1903"/>
      <c r="AC160" s="1868"/>
      <c r="AD160" s="1870"/>
      <c r="AE160" s="1905"/>
      <c r="AF160" s="1903"/>
      <c r="AG160" s="1868"/>
      <c r="AH160" s="1790">
        <f t="shared" si="85"/>
        <v>0</v>
      </c>
      <c r="AI160" s="1854">
        <f>AC160+AE160</f>
        <v>0</v>
      </c>
      <c r="AJ160" s="1790">
        <f t="shared" si="86"/>
        <v>0</v>
      </c>
      <c r="AK160" s="1858">
        <f t="shared" si="88"/>
        <v>0</v>
      </c>
      <c r="AM160" s="1944" t="s">
        <v>61</v>
      </c>
      <c r="AN160" s="847">
        <f t="shared" si="69"/>
        <v>4.2</v>
      </c>
      <c r="AO160" s="1995">
        <f t="shared" si="70"/>
        <v>4.2</v>
      </c>
      <c r="AP160" s="1845" t="s">
        <v>388</v>
      </c>
      <c r="AQ160" s="1840">
        <f t="shared" si="83"/>
        <v>0</v>
      </c>
      <c r="AR160" s="1667">
        <f t="shared" si="84"/>
        <v>0</v>
      </c>
    </row>
    <row r="161" spans="2:44" ht="12.75" customHeight="1" thickBot="1">
      <c r="B161" s="156" t="s">
        <v>490</v>
      </c>
      <c r="C161" s="283" t="s">
        <v>823</v>
      </c>
      <c r="D161" s="166">
        <v>200</v>
      </c>
      <c r="E161" s="155" t="s">
        <v>118</v>
      </c>
      <c r="F161" s="103" t="s">
        <v>119</v>
      </c>
      <c r="G161" s="318" t="s">
        <v>120</v>
      </c>
      <c r="H161" s="313" t="s">
        <v>118</v>
      </c>
      <c r="I161" s="97" t="s">
        <v>119</v>
      </c>
      <c r="J161" s="135" t="s">
        <v>120</v>
      </c>
      <c r="K161" s="339" t="s">
        <v>118</v>
      </c>
      <c r="L161" s="102" t="s">
        <v>119</v>
      </c>
      <c r="M161" s="1084" t="s">
        <v>120</v>
      </c>
      <c r="O161" s="1613" t="s">
        <v>143</v>
      </c>
      <c r="P161" s="1724"/>
      <c r="Q161" s="1569"/>
      <c r="R161" s="1724"/>
      <c r="S161" s="1569"/>
      <c r="T161" s="1724"/>
      <c r="U161" s="1569"/>
      <c r="V161" s="1724">
        <f t="shared" si="61"/>
        <v>0</v>
      </c>
      <c r="W161" s="1586">
        <f t="shared" si="62"/>
        <v>0</v>
      </c>
      <c r="X161" s="1724">
        <f t="shared" si="63"/>
        <v>0</v>
      </c>
      <c r="Y161" s="1585">
        <f t="shared" si="64"/>
        <v>0</v>
      </c>
      <c r="AA161" s="1850" t="s">
        <v>875</v>
      </c>
      <c r="AB161" s="1871">
        <f t="shared" ref="AB161:AG161" si="89">AB158+AB159+AB160</f>
        <v>0</v>
      </c>
      <c r="AC161" s="1851">
        <f t="shared" si="89"/>
        <v>0</v>
      </c>
      <c r="AD161" s="1871">
        <f t="shared" si="89"/>
        <v>0</v>
      </c>
      <c r="AE161" s="1851">
        <f t="shared" si="89"/>
        <v>0</v>
      </c>
      <c r="AF161" s="1871">
        <f t="shared" si="89"/>
        <v>0</v>
      </c>
      <c r="AG161" s="1851">
        <f t="shared" si="89"/>
        <v>0</v>
      </c>
      <c r="AH161" s="1791">
        <f t="shared" si="85"/>
        <v>0</v>
      </c>
      <c r="AI161" s="1855">
        <f>AC161+AE161</f>
        <v>0</v>
      </c>
      <c r="AJ161" s="1791">
        <f t="shared" si="86"/>
        <v>0</v>
      </c>
      <c r="AK161" s="1859">
        <f t="shared" si="88"/>
        <v>0</v>
      </c>
      <c r="AM161" s="1944" t="s">
        <v>143</v>
      </c>
      <c r="AN161" s="847">
        <f t="shared" si="69"/>
        <v>0</v>
      </c>
      <c r="AO161" s="1995">
        <f t="shared" si="70"/>
        <v>0</v>
      </c>
      <c r="AP161" s="1850" t="s">
        <v>875</v>
      </c>
      <c r="AQ161" s="1998">
        <f>AB161+AD161+AF161</f>
        <v>0</v>
      </c>
      <c r="AR161" s="1818">
        <f>AC161+AE161+AG161</f>
        <v>0</v>
      </c>
    </row>
    <row r="162" spans="2:44" ht="15" customHeight="1">
      <c r="B162" s="1525" t="s">
        <v>824</v>
      </c>
      <c r="C162" s="1201"/>
      <c r="D162" s="341"/>
      <c r="E162" s="100" t="s">
        <v>150</v>
      </c>
      <c r="F162" s="895">
        <v>134.49700000000001</v>
      </c>
      <c r="G162" s="883">
        <v>92.4</v>
      </c>
      <c r="H162" s="216" t="s">
        <v>586</v>
      </c>
      <c r="I162" s="123" t="s">
        <v>982</v>
      </c>
      <c r="J162" s="309">
        <v>1.4</v>
      </c>
      <c r="K162" s="100" t="s">
        <v>107</v>
      </c>
      <c r="L162" s="123">
        <v>1</v>
      </c>
      <c r="M162" s="131">
        <v>1</v>
      </c>
      <c r="O162" s="1617" t="s">
        <v>229</v>
      </c>
      <c r="P162" s="1747">
        <f>P166+P165+P164+P163</f>
        <v>0.02</v>
      </c>
      <c r="Q162" s="1576">
        <f>Q163+Q164+Q165+Q166</f>
        <v>0.02</v>
      </c>
      <c r="R162" s="1911">
        <f>R163+R164+R165+R166</f>
        <v>1.571</v>
      </c>
      <c r="S162" s="1576">
        <f>S163+S164+S165+S166</f>
        <v>1.571</v>
      </c>
      <c r="T162" s="1911"/>
      <c r="U162" s="1576">
        <f>U163+U164+U165+U166</f>
        <v>0</v>
      </c>
      <c r="V162" s="1912">
        <f>P162+R162</f>
        <v>1.591</v>
      </c>
      <c r="W162" s="1586">
        <f t="shared" si="62"/>
        <v>1.591</v>
      </c>
      <c r="X162" s="1979">
        <f>R162+T162</f>
        <v>1.571</v>
      </c>
      <c r="Y162" s="1679">
        <f t="shared" si="64"/>
        <v>1.571</v>
      </c>
      <c r="AA162" s="1695" t="s">
        <v>208</v>
      </c>
      <c r="AB162" s="1784"/>
      <c r="AC162" s="1696"/>
      <c r="AD162" s="1784">
        <f>I155</f>
        <v>38.85</v>
      </c>
      <c r="AE162" s="1697">
        <f>J155</f>
        <v>38.85</v>
      </c>
      <c r="AF162" s="1784"/>
      <c r="AG162" s="1758"/>
      <c r="AH162" s="1788">
        <f t="shared" si="81"/>
        <v>38.85</v>
      </c>
      <c r="AI162" s="1772">
        <f>AC162+AE162</f>
        <v>38.85</v>
      </c>
      <c r="AJ162" s="1788">
        <f t="shared" si="82"/>
        <v>38.85</v>
      </c>
      <c r="AK162" s="1603">
        <f t="shared" si="88"/>
        <v>38.85</v>
      </c>
      <c r="AM162" s="1948" t="s">
        <v>229</v>
      </c>
      <c r="AN162" s="847">
        <f t="shared" si="69"/>
        <v>1.591</v>
      </c>
      <c r="AO162" s="1995">
        <f t="shared" si="70"/>
        <v>1.591</v>
      </c>
      <c r="AP162" s="1695" t="s">
        <v>208</v>
      </c>
      <c r="AQ162" s="1840">
        <f t="shared" si="83"/>
        <v>38.85</v>
      </c>
      <c r="AR162" s="1667">
        <f t="shared" si="84"/>
        <v>38.85</v>
      </c>
    </row>
    <row r="163" spans="2:44" ht="14.25" customHeight="1">
      <c r="B163" s="156" t="s">
        <v>210</v>
      </c>
      <c r="C163" s="283" t="s">
        <v>967</v>
      </c>
      <c r="D163" s="166">
        <v>100</v>
      </c>
      <c r="E163" s="185" t="s">
        <v>91</v>
      </c>
      <c r="F163" s="233">
        <v>17</v>
      </c>
      <c r="G163" s="411">
        <v>17</v>
      </c>
      <c r="H163" s="241" t="s">
        <v>92</v>
      </c>
      <c r="I163" s="233">
        <v>2.71</v>
      </c>
      <c r="J163" s="247">
        <v>2.71</v>
      </c>
      <c r="K163" s="249" t="s">
        <v>94</v>
      </c>
      <c r="L163" s="251">
        <v>50</v>
      </c>
      <c r="M163" s="255">
        <v>50</v>
      </c>
      <c r="O163" s="1618" t="s">
        <v>222</v>
      </c>
      <c r="P163" s="1728">
        <f>I141</f>
        <v>0.02</v>
      </c>
      <c r="Q163" s="1572">
        <f>J141</f>
        <v>0.02</v>
      </c>
      <c r="R163" s="1971">
        <f>F153</f>
        <v>0.01</v>
      </c>
      <c r="S163" s="1572">
        <f>G153+J152</f>
        <v>1.0999999999999999E-2</v>
      </c>
      <c r="T163" s="1932"/>
      <c r="U163" s="1572"/>
      <c r="V163" s="1775">
        <f>P163+R163</f>
        <v>0.03</v>
      </c>
      <c r="W163" s="1572"/>
      <c r="X163" s="1725">
        <f t="shared" si="63"/>
        <v>0.01</v>
      </c>
      <c r="Y163" s="1607"/>
      <c r="AA163" s="1663" t="s">
        <v>81</v>
      </c>
      <c r="AB163" s="1782"/>
      <c r="AC163" s="1599"/>
      <c r="AD163" s="1782"/>
      <c r="AE163" s="1670"/>
      <c r="AF163" s="1782"/>
      <c r="AG163" s="1682"/>
      <c r="AH163" s="1789">
        <f t="shared" si="81"/>
        <v>0</v>
      </c>
      <c r="AI163" s="1772">
        <f t="shared" ref="AI163:AI169" si="90">AC163+AE163</f>
        <v>0</v>
      </c>
      <c r="AJ163" s="1789">
        <f t="shared" si="82"/>
        <v>0</v>
      </c>
      <c r="AK163" s="1645">
        <f t="shared" si="88"/>
        <v>0</v>
      </c>
      <c r="AM163" s="1949" t="s">
        <v>222</v>
      </c>
      <c r="AN163" s="1742">
        <f t="shared" si="69"/>
        <v>0.03</v>
      </c>
      <c r="AO163" s="1677">
        <f t="shared" ref="AO163:AO165" si="91">Q163+S163+U163</f>
        <v>3.1E-2</v>
      </c>
      <c r="AP163" s="1663" t="s">
        <v>81</v>
      </c>
      <c r="AQ163" s="1840">
        <f t="shared" si="83"/>
        <v>0</v>
      </c>
      <c r="AR163" s="1667">
        <f t="shared" si="84"/>
        <v>0</v>
      </c>
    </row>
    <row r="164" spans="2:44" ht="13.5" customHeight="1">
      <c r="B164" s="338" t="s">
        <v>10</v>
      </c>
      <c r="C164" s="1546" t="s">
        <v>11</v>
      </c>
      <c r="D164" s="2379">
        <v>30</v>
      </c>
      <c r="E164" s="185" t="s">
        <v>93</v>
      </c>
      <c r="F164" s="233">
        <v>3.65</v>
      </c>
      <c r="G164" s="411">
        <v>3.65</v>
      </c>
      <c r="H164" s="283" t="s">
        <v>116</v>
      </c>
      <c r="I164" s="233">
        <v>7.3</v>
      </c>
      <c r="J164" s="247">
        <v>7.3</v>
      </c>
      <c r="K164" s="186" t="s">
        <v>57</v>
      </c>
      <c r="L164" s="254">
        <v>0.5</v>
      </c>
      <c r="M164" s="293">
        <v>0.5</v>
      </c>
      <c r="O164" s="1619" t="s">
        <v>679</v>
      </c>
      <c r="P164" s="1972"/>
      <c r="Q164" s="1573"/>
      <c r="R164" s="1972">
        <f>G156+I152</f>
        <v>1.2609999999999999</v>
      </c>
      <c r="S164" s="1573">
        <f>G156</f>
        <v>1.26</v>
      </c>
      <c r="T164" s="1933"/>
      <c r="U164" s="1573"/>
      <c r="V164" s="1775">
        <f t="shared" ref="V164:V165" si="92">P164+R164</f>
        <v>1.2609999999999999</v>
      </c>
      <c r="W164" s="1573"/>
      <c r="X164" s="1725">
        <f t="shared" si="63"/>
        <v>1.2609999999999999</v>
      </c>
      <c r="Y164" s="1608"/>
      <c r="AA164" s="1663" t="s">
        <v>83</v>
      </c>
      <c r="AB164" s="1785"/>
      <c r="AC164" s="1639"/>
      <c r="AD164" s="1785"/>
      <c r="AE164" s="1671"/>
      <c r="AF164" s="1785"/>
      <c r="AG164" s="1759"/>
      <c r="AH164" s="1789">
        <f t="shared" si="81"/>
        <v>0</v>
      </c>
      <c r="AI164" s="1772">
        <f t="shared" si="90"/>
        <v>0</v>
      </c>
      <c r="AJ164" s="1789">
        <f t="shared" si="82"/>
        <v>0</v>
      </c>
      <c r="AK164" s="1645">
        <f t="shared" si="88"/>
        <v>0</v>
      </c>
      <c r="AM164" s="1950" t="s">
        <v>679</v>
      </c>
      <c r="AN164" s="1742">
        <f t="shared" si="69"/>
        <v>1.2609999999999999</v>
      </c>
      <c r="AO164" s="1677">
        <f>Q164+S164+U164</f>
        <v>1.26</v>
      </c>
      <c r="AP164" s="1663" t="s">
        <v>83</v>
      </c>
      <c r="AQ164" s="1840">
        <f t="shared" si="83"/>
        <v>0</v>
      </c>
      <c r="AR164" s="1667">
        <f t="shared" si="84"/>
        <v>0</v>
      </c>
    </row>
    <row r="165" spans="2:44" ht="13.5" customHeight="1">
      <c r="B165" s="375" t="s">
        <v>10</v>
      </c>
      <c r="C165" s="241" t="s">
        <v>395</v>
      </c>
      <c r="D165" s="425">
        <v>21</v>
      </c>
      <c r="E165" s="185" t="s">
        <v>221</v>
      </c>
      <c r="F165" s="233">
        <v>0.76</v>
      </c>
      <c r="G165" s="411">
        <v>0.58699999999999997</v>
      </c>
      <c r="H165" s="241" t="s">
        <v>61</v>
      </c>
      <c r="I165" s="254">
        <v>1</v>
      </c>
      <c r="J165" s="2380">
        <v>1</v>
      </c>
      <c r="K165" s="249" t="s">
        <v>94</v>
      </c>
      <c r="L165" s="251">
        <v>152</v>
      </c>
      <c r="M165" s="255">
        <v>152</v>
      </c>
      <c r="O165" s="1620" t="s">
        <v>449</v>
      </c>
      <c r="P165" s="1982"/>
      <c r="Q165" s="1574"/>
      <c r="R165" s="1730"/>
      <c r="S165" s="1574"/>
      <c r="T165" s="1981"/>
      <c r="U165" s="1574"/>
      <c r="V165" s="1775">
        <f t="shared" si="92"/>
        <v>0</v>
      </c>
      <c r="W165" s="1574"/>
      <c r="X165" s="1725">
        <f t="shared" si="63"/>
        <v>0</v>
      </c>
      <c r="Y165" s="1609"/>
      <c r="AA165" s="1663" t="s">
        <v>84</v>
      </c>
      <c r="AB165" s="1782"/>
      <c r="AC165" s="1639"/>
      <c r="AD165" s="1782"/>
      <c r="AE165" s="1671"/>
      <c r="AF165" s="1782"/>
      <c r="AG165" s="1759"/>
      <c r="AH165" s="1789">
        <f t="shared" si="81"/>
        <v>0</v>
      </c>
      <c r="AI165" s="1772">
        <f t="shared" si="90"/>
        <v>0</v>
      </c>
      <c r="AJ165" s="1789">
        <f t="shared" si="82"/>
        <v>0</v>
      </c>
      <c r="AK165" s="1645">
        <f t="shared" si="88"/>
        <v>0</v>
      </c>
      <c r="AM165" s="1951" t="s">
        <v>449</v>
      </c>
      <c r="AN165" s="1742">
        <f t="shared" si="69"/>
        <v>0</v>
      </c>
      <c r="AO165" s="1677">
        <f t="shared" si="91"/>
        <v>0</v>
      </c>
      <c r="AP165" s="1663" t="s">
        <v>84</v>
      </c>
      <c r="AQ165" s="1840">
        <f t="shared" si="83"/>
        <v>0</v>
      </c>
      <c r="AR165" s="1667">
        <f t="shared" si="84"/>
        <v>0</v>
      </c>
    </row>
    <row r="166" spans="2:44" ht="12.75" customHeight="1">
      <c r="B166" s="61"/>
      <c r="C166" s="999"/>
      <c r="D166" s="71"/>
      <c r="E166" s="61"/>
      <c r="H166" s="241" t="s">
        <v>103</v>
      </c>
      <c r="I166" s="233">
        <v>4</v>
      </c>
      <c r="J166" s="247">
        <v>4</v>
      </c>
      <c r="K166" s="249" t="s">
        <v>454</v>
      </c>
      <c r="L166" s="254">
        <v>33.75</v>
      </c>
      <c r="M166" s="2380">
        <v>30.5</v>
      </c>
      <c r="O166" s="1942" t="s">
        <v>167</v>
      </c>
      <c r="P166" s="1983"/>
      <c r="Q166" s="1910"/>
      <c r="R166" s="1725">
        <f>L151</f>
        <v>0.3</v>
      </c>
      <c r="S166" s="1910">
        <f>M151</f>
        <v>0.3</v>
      </c>
      <c r="T166" s="1934"/>
      <c r="U166" s="1910"/>
      <c r="V166" s="1976">
        <f>P166+R166</f>
        <v>0.3</v>
      </c>
      <c r="W166" s="1910"/>
      <c r="X166" s="1976">
        <f t="shared" si="63"/>
        <v>0.3</v>
      </c>
      <c r="Y166" s="2017"/>
      <c r="AA166" s="1663" t="s">
        <v>85</v>
      </c>
      <c r="AB166" s="1782"/>
      <c r="AC166" s="1599"/>
      <c r="AD166" s="1782"/>
      <c r="AE166" s="1670"/>
      <c r="AF166" s="1782"/>
      <c r="AG166" s="1682"/>
      <c r="AH166" s="1789">
        <f t="shared" si="81"/>
        <v>0</v>
      </c>
      <c r="AI166" s="1772">
        <f t="shared" si="90"/>
        <v>0</v>
      </c>
      <c r="AJ166" s="1789">
        <f t="shared" si="82"/>
        <v>0</v>
      </c>
      <c r="AK166" s="1645">
        <f t="shared" si="88"/>
        <v>0</v>
      </c>
      <c r="AM166" s="1953" t="s">
        <v>167</v>
      </c>
      <c r="AN166" s="1742">
        <f t="shared" si="69"/>
        <v>0.3</v>
      </c>
      <c r="AO166" s="1677">
        <f>Q166+S166+U166</f>
        <v>0.3</v>
      </c>
      <c r="AP166" s="1663" t="s">
        <v>85</v>
      </c>
      <c r="AQ166" s="1840">
        <f t="shared" si="83"/>
        <v>0</v>
      </c>
      <c r="AR166" s="1667">
        <f t="shared" si="84"/>
        <v>0</v>
      </c>
    </row>
    <row r="167" spans="2:44" ht="14.25" customHeight="1" thickBot="1">
      <c r="B167" s="1139" t="s">
        <v>584</v>
      </c>
      <c r="C167" s="1136"/>
      <c r="D167" s="1137">
        <f>SUM(D161:D166)</f>
        <v>351</v>
      </c>
      <c r="E167" s="57"/>
      <c r="F167" s="29"/>
      <c r="G167" s="29"/>
      <c r="H167" s="423"/>
      <c r="I167" s="29"/>
      <c r="J167" s="74"/>
      <c r="K167" s="237"/>
      <c r="L167" s="232"/>
      <c r="M167" s="191"/>
      <c r="O167" s="563" t="s">
        <v>116</v>
      </c>
      <c r="P167" s="1610"/>
      <c r="Q167" s="2022"/>
      <c r="R167" s="1610"/>
      <c r="S167" s="2022"/>
      <c r="T167" s="1610">
        <f>I164</f>
        <v>7.3</v>
      </c>
      <c r="U167" s="2023">
        <f>J164</f>
        <v>7.3</v>
      </c>
      <c r="V167" s="1610"/>
      <c r="W167" s="2022"/>
      <c r="X167" s="1610"/>
      <c r="Y167" s="1611"/>
      <c r="AA167" s="1663" t="s">
        <v>87</v>
      </c>
      <c r="AB167" s="1782"/>
      <c r="AC167" s="1640"/>
      <c r="AD167" s="1782"/>
      <c r="AE167" s="1670"/>
      <c r="AF167" s="1782"/>
      <c r="AG167" s="1682"/>
      <c r="AH167" s="1789">
        <f t="shared" si="81"/>
        <v>0</v>
      </c>
      <c r="AI167" s="1772">
        <f t="shared" si="90"/>
        <v>0</v>
      </c>
      <c r="AJ167" s="1789">
        <f t="shared" si="82"/>
        <v>0</v>
      </c>
      <c r="AK167" s="1645">
        <f t="shared" si="88"/>
        <v>0</v>
      </c>
      <c r="AM167" s="573" t="s">
        <v>116</v>
      </c>
      <c r="AN167" s="847">
        <f>P167+R167+T167</f>
        <v>7.3</v>
      </c>
      <c r="AO167" s="1995">
        <f>Q167+S167+U167</f>
        <v>7.3</v>
      </c>
      <c r="AP167" s="1663" t="s">
        <v>87</v>
      </c>
      <c r="AQ167" s="1840">
        <f t="shared" si="83"/>
        <v>0</v>
      </c>
      <c r="AR167" s="1667">
        <f t="shared" si="84"/>
        <v>0</v>
      </c>
    </row>
    <row r="168" spans="2:44" ht="14.25" customHeight="1">
      <c r="Q168" s="367"/>
      <c r="S168" s="367"/>
      <c r="U168" s="1581"/>
      <c r="W168" s="1570"/>
      <c r="Y168" s="1570"/>
      <c r="AA168" s="1663" t="s">
        <v>88</v>
      </c>
      <c r="AB168" s="1782"/>
      <c r="AC168" s="1599"/>
      <c r="AD168" s="1782"/>
      <c r="AE168" s="1670"/>
      <c r="AF168" s="1782"/>
      <c r="AG168" s="1682"/>
      <c r="AH168" s="1789">
        <f t="shared" si="81"/>
        <v>0</v>
      </c>
      <c r="AI168" s="1772">
        <f t="shared" si="90"/>
        <v>0</v>
      </c>
      <c r="AJ168" s="1789">
        <f t="shared" si="82"/>
        <v>0</v>
      </c>
      <c r="AK168" s="1645">
        <f t="shared" si="88"/>
        <v>0</v>
      </c>
      <c r="AP168" s="1663" t="s">
        <v>88</v>
      </c>
      <c r="AQ168" s="1840">
        <f t="shared" si="83"/>
        <v>0</v>
      </c>
      <c r="AR168" s="1667">
        <f t="shared" si="84"/>
        <v>0</v>
      </c>
    </row>
    <row r="169" spans="2:44" ht="15" customHeight="1" thickBot="1">
      <c r="O169" s="517"/>
      <c r="Q169" s="367"/>
      <c r="S169" s="367"/>
      <c r="U169" s="1581"/>
      <c r="W169" s="1570"/>
      <c r="Y169" s="1570"/>
      <c r="AA169" s="1685" t="s">
        <v>90</v>
      </c>
      <c r="AB169" s="1927"/>
      <c r="AC169" s="1907"/>
      <c r="AD169" s="1783"/>
      <c r="AE169" s="1687"/>
      <c r="AF169" s="1783"/>
      <c r="AG169" s="1760"/>
      <c r="AH169" s="1790">
        <f t="shared" si="81"/>
        <v>0</v>
      </c>
      <c r="AI169" s="1772">
        <f t="shared" si="90"/>
        <v>0</v>
      </c>
      <c r="AJ169" s="1790">
        <f t="shared" si="82"/>
        <v>0</v>
      </c>
      <c r="AK169" s="1805">
        <f t="shared" si="88"/>
        <v>0</v>
      </c>
      <c r="AP169" s="1685" t="s">
        <v>90</v>
      </c>
      <c r="AQ169" s="1840">
        <f t="shared" si="83"/>
        <v>0</v>
      </c>
      <c r="AR169" s="1667">
        <f t="shared" si="84"/>
        <v>0</v>
      </c>
    </row>
    <row r="170" spans="2:44" ht="15" customHeight="1" thickBot="1">
      <c r="S170" s="367"/>
      <c r="U170" s="1581"/>
      <c r="W170" s="1570"/>
      <c r="Y170" s="1570"/>
      <c r="AA170" s="1688" t="s">
        <v>877</v>
      </c>
      <c r="AB170" s="1786">
        <f t="shared" ref="AB170:AG170" si="93">SUM(AB162:AB169)</f>
        <v>0</v>
      </c>
      <c r="AC170" s="1689">
        <f t="shared" si="93"/>
        <v>0</v>
      </c>
      <c r="AD170" s="1906">
        <f t="shared" si="93"/>
        <v>38.85</v>
      </c>
      <c r="AE170" s="1690">
        <f t="shared" si="93"/>
        <v>38.85</v>
      </c>
      <c r="AF170" s="1786">
        <f t="shared" si="93"/>
        <v>0</v>
      </c>
      <c r="AG170" s="1761">
        <f t="shared" si="93"/>
        <v>0</v>
      </c>
      <c r="AH170" s="1797">
        <f>AB170+AD170</f>
        <v>38.85</v>
      </c>
      <c r="AI170" s="1816">
        <f>AC170+AE170</f>
        <v>38.85</v>
      </c>
      <c r="AJ170" s="1797">
        <f>AD170+AF170</f>
        <v>38.85</v>
      </c>
      <c r="AK170" s="1691">
        <f t="shared" si="88"/>
        <v>38.85</v>
      </c>
      <c r="AP170" s="1688" t="s">
        <v>877</v>
      </c>
      <c r="AQ170" s="1919">
        <f>AB170+AD170+AF170</f>
        <v>38.85</v>
      </c>
      <c r="AR170" s="1820">
        <f>AC170+AE170+AG170</f>
        <v>38.85</v>
      </c>
    </row>
    <row r="171" spans="2:44" ht="15" customHeight="1">
      <c r="F171" s="8"/>
      <c r="Q171" s="1570"/>
      <c r="S171" s="367"/>
      <c r="U171" s="367"/>
      <c r="W171" s="1591"/>
      <c r="Y171" s="1580"/>
      <c r="AA171" s="4"/>
      <c r="AB171" s="62"/>
      <c r="AC171" s="207"/>
      <c r="AD171" s="62"/>
      <c r="AE171" s="1570"/>
      <c r="AF171" s="786"/>
      <c r="AG171" s="1570"/>
      <c r="AH171" s="62"/>
      <c r="AI171" s="1909"/>
      <c r="AJ171" s="62"/>
      <c r="AK171" s="1570"/>
    </row>
    <row r="172" spans="2:44" ht="18" customHeight="1">
      <c r="O172" s="207"/>
      <c r="Q172" s="367"/>
      <c r="S172" s="367"/>
      <c r="U172" s="367"/>
      <c r="W172" s="367"/>
      <c r="Y172" s="1581"/>
      <c r="AC172" s="62"/>
      <c r="AE172" s="62"/>
      <c r="AF172" s="1570"/>
      <c r="AG172" s="786"/>
      <c r="AH172" s="1570"/>
      <c r="AI172" s="62"/>
      <c r="AJ172" s="282"/>
      <c r="AK172" s="62"/>
      <c r="AL172" s="1570"/>
    </row>
    <row r="173" spans="2:44" ht="14.25" customHeight="1">
      <c r="H173" s="4"/>
      <c r="I173" s="32"/>
      <c r="J173" s="315"/>
      <c r="Q173" s="367"/>
      <c r="S173" s="367"/>
      <c r="U173" s="367"/>
      <c r="W173" s="367"/>
      <c r="Y173" s="1581"/>
      <c r="AB173" s="4"/>
      <c r="AC173" s="62"/>
      <c r="AD173" s="8"/>
      <c r="AE173" s="62"/>
      <c r="AF173" s="1570"/>
      <c r="AG173" s="786"/>
      <c r="AH173" s="1570"/>
      <c r="AI173" s="62"/>
      <c r="AJ173" s="282"/>
      <c r="AK173" s="62"/>
      <c r="AL173" s="1570"/>
    </row>
    <row r="174" spans="2:44" ht="15" customHeight="1">
      <c r="E174" s="740"/>
      <c r="H174" s="4"/>
      <c r="I174" s="8"/>
      <c r="J174" s="137"/>
      <c r="Q174" s="1570"/>
      <c r="S174" s="367"/>
      <c r="U174" s="367"/>
      <c r="W174" s="367"/>
      <c r="Y174" s="1581"/>
      <c r="AC174" s="62"/>
      <c r="AE174" s="62"/>
      <c r="AF174" s="1570"/>
      <c r="AG174" s="786"/>
      <c r="AH174" s="1570"/>
      <c r="AI174" s="62"/>
      <c r="AJ174" s="282"/>
      <c r="AK174" s="62"/>
      <c r="AL174" s="1570"/>
    </row>
    <row r="175" spans="2:44" ht="14.25" customHeight="1">
      <c r="C175" s="171" t="s">
        <v>551</v>
      </c>
      <c r="G175" s="2"/>
      <c r="H175" s="2"/>
      <c r="I175" s="2"/>
      <c r="L175" s="2"/>
      <c r="O175" t="s">
        <v>872</v>
      </c>
      <c r="Y175" s="1570"/>
      <c r="AK175" s="62"/>
      <c r="AL175" s="1570"/>
    </row>
    <row r="176" spans="2:44" ht="17.25" customHeight="1">
      <c r="C176"/>
      <c r="D176" s="94" t="s">
        <v>354</v>
      </c>
      <c r="F176" s="15"/>
      <c r="K176" s="87"/>
      <c r="Q176" s="1570"/>
      <c r="S176" s="1570"/>
      <c r="U176" s="367"/>
      <c r="W176" s="367"/>
      <c r="Y176" s="367"/>
      <c r="AA176" t="s">
        <v>872</v>
      </c>
      <c r="AK176" s="62"/>
      <c r="AL176" s="1570"/>
    </row>
    <row r="177" spans="2:47">
      <c r="O177" s="517"/>
      <c r="Q177" s="1570"/>
      <c r="S177" s="1570"/>
      <c r="U177" s="1570"/>
      <c r="W177" s="1570"/>
      <c r="Y177" s="1570"/>
      <c r="AA177" s="94" t="str">
        <f>O186</f>
        <v>4 - й   день</v>
      </c>
      <c r="AB177" s="201" t="s">
        <v>513</v>
      </c>
      <c r="AG177" s="129" t="s">
        <v>174</v>
      </c>
      <c r="AI177" s="45" t="s">
        <v>558</v>
      </c>
      <c r="AJ177" s="63"/>
      <c r="AK177" s="62"/>
      <c r="AL177" s="1570"/>
      <c r="AR177" s="92"/>
    </row>
    <row r="178" spans="2:47" ht="12.75" customHeight="1">
      <c r="C178" s="1" t="s">
        <v>552</v>
      </c>
      <c r="Q178" s="1570"/>
      <c r="S178" s="1570"/>
      <c r="U178" s="1570"/>
      <c r="W178" s="1570"/>
      <c r="Y178" s="1570"/>
      <c r="AC178" s="62"/>
      <c r="AE178" s="62"/>
      <c r="AF178" s="1570"/>
      <c r="AG178" s="786"/>
      <c r="AH178" s="1570"/>
      <c r="AI178" s="62"/>
      <c r="AJ178" s="282"/>
      <c r="AK178" s="62"/>
      <c r="AL178" s="1570"/>
      <c r="AR178" s="93"/>
    </row>
    <row r="179" spans="2:47" ht="15" customHeight="1">
      <c r="C179" s="1" t="s">
        <v>553</v>
      </c>
      <c r="Q179" s="1570"/>
      <c r="S179" s="1570"/>
      <c r="U179" s="1570"/>
      <c r="W179" s="1570"/>
      <c r="Y179" s="1570"/>
      <c r="AC179" s="62"/>
      <c r="AE179" s="62"/>
      <c r="AF179" s="1570"/>
      <c r="AG179" s="786"/>
      <c r="AH179" s="1570"/>
      <c r="AI179" s="62"/>
      <c r="AJ179" s="282"/>
      <c r="AK179" s="62"/>
      <c r="AL179" s="1570"/>
    </row>
    <row r="180" spans="2:47" ht="15.75" customHeight="1">
      <c r="C180" s="1" t="s">
        <v>553</v>
      </c>
      <c r="E180" t="s">
        <v>554</v>
      </c>
      <c r="Q180" s="1570"/>
      <c r="S180" s="1570"/>
      <c r="U180" s="1570"/>
      <c r="W180" s="1570"/>
      <c r="Y180" s="1570"/>
      <c r="AC180" s="62"/>
      <c r="AE180" s="62"/>
      <c r="AF180" s="1570"/>
      <c r="AG180" s="786"/>
      <c r="AH180" s="1570"/>
      <c r="AI180" s="62"/>
      <c r="AJ180" s="282"/>
      <c r="AK180" s="62"/>
      <c r="AL180" s="1570"/>
    </row>
    <row r="181" spans="2:47" ht="15" customHeight="1">
      <c r="C181" s="1" t="s">
        <v>555</v>
      </c>
      <c r="E181" t="s">
        <v>556</v>
      </c>
      <c r="Q181" s="1570"/>
      <c r="S181" s="1570"/>
      <c r="U181" s="1570"/>
      <c r="W181" s="1570"/>
      <c r="Y181" s="1570"/>
      <c r="AC181" s="62"/>
      <c r="AE181" s="62"/>
      <c r="AF181" s="1570"/>
      <c r="AG181" s="786"/>
      <c r="AH181" s="1570"/>
      <c r="AI181" s="62"/>
      <c r="AJ181" s="282"/>
      <c r="AK181" s="62"/>
      <c r="AL181" s="1570"/>
    </row>
    <row r="182" spans="2:47" ht="15.75" customHeight="1">
      <c r="C182" s="1" t="s">
        <v>555</v>
      </c>
      <c r="E182" t="s">
        <v>557</v>
      </c>
      <c r="Q182" s="1570"/>
      <c r="S182" s="1570"/>
      <c r="U182" s="1570"/>
      <c r="W182" s="1570"/>
      <c r="Y182" s="1570"/>
      <c r="AC182" s="62"/>
      <c r="AE182" s="62"/>
      <c r="AF182" s="1570"/>
      <c r="AG182" s="786"/>
      <c r="AH182" s="1570"/>
      <c r="AI182" s="62"/>
      <c r="AJ182" s="282"/>
      <c r="AK182" s="62"/>
      <c r="AL182" s="1570"/>
    </row>
    <row r="183" spans="2:47" ht="15.75" thickBot="1">
      <c r="Q183" s="1570"/>
      <c r="S183" s="1570"/>
      <c r="U183" s="1570"/>
      <c r="W183" s="1570"/>
      <c r="Y183" s="1570"/>
      <c r="AC183" s="62"/>
      <c r="AE183" s="62"/>
      <c r="AF183" s="1570"/>
      <c r="AG183" s="786"/>
      <c r="AH183" s="1570"/>
      <c r="AI183" s="62"/>
      <c r="AJ183" s="282"/>
      <c r="AK183" s="62"/>
      <c r="AL183" s="1570"/>
    </row>
    <row r="184" spans="2:47" ht="12.75" customHeight="1" thickBot="1">
      <c r="B184" s="2" t="s">
        <v>513</v>
      </c>
      <c r="F184" s="129" t="s">
        <v>174</v>
      </c>
      <c r="I184" s="13" t="s">
        <v>558</v>
      </c>
      <c r="K184" s="346"/>
      <c r="Q184" s="1570"/>
      <c r="S184" s="1570"/>
      <c r="U184" s="1570"/>
      <c r="W184" s="1570"/>
      <c r="Y184" s="1570"/>
      <c r="AA184" s="1612" t="s">
        <v>508</v>
      </c>
      <c r="AB184" s="1676" t="s">
        <v>886</v>
      </c>
      <c r="AC184" s="1602"/>
      <c r="AD184" s="1676" t="s">
        <v>885</v>
      </c>
      <c r="AE184" s="1602"/>
      <c r="AF184" s="1676" t="s">
        <v>887</v>
      </c>
      <c r="AG184" s="1602"/>
      <c r="AH184" s="1676" t="s">
        <v>888</v>
      </c>
      <c r="AI184" s="1602"/>
      <c r="AJ184" s="1798" t="s">
        <v>890</v>
      </c>
      <c r="AK184" s="1602"/>
      <c r="AL184" s="1570"/>
    </row>
    <row r="185" spans="2:47" ht="15.75" customHeight="1" thickBot="1">
      <c r="B185" s="25" t="s">
        <v>565</v>
      </c>
      <c r="C185" s="83" t="s">
        <v>3</v>
      </c>
      <c r="D185" s="84" t="s">
        <v>4</v>
      </c>
      <c r="E185" s="88"/>
      <c r="F185" s="68"/>
      <c r="G185" s="68"/>
      <c r="H185" s="68"/>
      <c r="I185" s="68"/>
      <c r="J185" s="68"/>
      <c r="K185" s="68"/>
      <c r="L185" s="68"/>
      <c r="M185" s="54"/>
      <c r="Q185" s="1570"/>
      <c r="S185" s="1570"/>
      <c r="U185" s="1570"/>
      <c r="W185" s="1570"/>
      <c r="Y185" s="1570"/>
      <c r="AA185" s="2003" t="s">
        <v>67</v>
      </c>
      <c r="AB185" s="1621" t="s">
        <v>119</v>
      </c>
      <c r="AC185" s="1664" t="s">
        <v>120</v>
      </c>
      <c r="AD185" s="1637" t="s">
        <v>119</v>
      </c>
      <c r="AE185" s="1638" t="s">
        <v>120</v>
      </c>
      <c r="AF185" s="1637" t="s">
        <v>119</v>
      </c>
      <c r="AG185" s="1638" t="s">
        <v>120</v>
      </c>
      <c r="AH185" s="1621" t="s">
        <v>119</v>
      </c>
      <c r="AI185" s="1622" t="s">
        <v>120</v>
      </c>
      <c r="AJ185" s="1799" t="s">
        <v>119</v>
      </c>
      <c r="AK185" s="1622" t="s">
        <v>120</v>
      </c>
      <c r="AL185" s="1570"/>
    </row>
    <row r="186" spans="2:47" ht="13.5" customHeight="1" thickBot="1">
      <c r="B186" s="287" t="s">
        <v>566</v>
      </c>
      <c r="C186"/>
      <c r="D186" s="288" t="s">
        <v>71</v>
      </c>
      <c r="E186" s="57" t="s">
        <v>69</v>
      </c>
      <c r="F186" s="29"/>
      <c r="G186" s="29"/>
      <c r="H186" s="29"/>
      <c r="I186" s="29"/>
      <c r="J186" s="29"/>
      <c r="K186" s="29"/>
      <c r="L186" s="29"/>
      <c r="M186" s="74"/>
      <c r="O186" s="1936" t="s">
        <v>907</v>
      </c>
      <c r="P186" s="516" t="s">
        <v>513</v>
      </c>
      <c r="Q186" s="38"/>
      <c r="R186" s="38"/>
      <c r="S186" s="38"/>
      <c r="T186" s="38"/>
      <c r="U186" s="1937" t="s">
        <v>174</v>
      </c>
      <c r="V186" s="38"/>
      <c r="W186" s="1938" t="s">
        <v>558</v>
      </c>
      <c r="X186" s="1939"/>
      <c r="Y186" s="1582"/>
      <c r="AA186" s="178" t="s">
        <v>159</v>
      </c>
      <c r="AB186" s="1778"/>
      <c r="AC186" s="840"/>
      <c r="AD186" s="1788"/>
      <c r="AE186" s="1598"/>
      <c r="AF186" s="1792"/>
      <c r="AG186" s="1681"/>
      <c r="AH186" s="1792">
        <f>AB186+AD186</f>
        <v>0</v>
      </c>
      <c r="AI186" s="1586">
        <f>AC186+AE186</f>
        <v>0</v>
      </c>
      <c r="AJ186" s="1792">
        <f>AD186+AF186</f>
        <v>0</v>
      </c>
      <c r="AK186" s="1587">
        <f>AE186+AG186</f>
        <v>0</v>
      </c>
      <c r="AL186" s="1570"/>
      <c r="AM186" s="37"/>
      <c r="AN186" s="312" t="s">
        <v>893</v>
      </c>
      <c r="AO186" s="38"/>
      <c r="AP186" s="68"/>
      <c r="AQ186" s="38"/>
      <c r="AR186" s="50"/>
    </row>
    <row r="187" spans="2:47" ht="13.5" customHeight="1" thickBot="1">
      <c r="B187" s="876" t="s">
        <v>404</v>
      </c>
      <c r="C187" s="68"/>
      <c r="D187" s="54"/>
      <c r="E187" s="1126" t="s">
        <v>399</v>
      </c>
      <c r="F187" s="1127"/>
      <c r="G187" s="29"/>
      <c r="H187" s="29"/>
      <c r="I187" s="29"/>
      <c r="J187" s="74"/>
      <c r="K187" s="1128" t="s">
        <v>104</v>
      </c>
      <c r="L187" s="29"/>
      <c r="M187" s="74"/>
      <c r="O187" s="1612" t="s">
        <v>508</v>
      </c>
      <c r="P187" s="1676" t="s">
        <v>886</v>
      </c>
      <c r="Q187" s="1602"/>
      <c r="R187" s="1676" t="s">
        <v>885</v>
      </c>
      <c r="S187" s="1602"/>
      <c r="T187" s="1676" t="s">
        <v>887</v>
      </c>
      <c r="U187" s="1602"/>
      <c r="V187" s="1676" t="s">
        <v>889</v>
      </c>
      <c r="W187" s="1602"/>
      <c r="X187" s="1977" t="s">
        <v>891</v>
      </c>
      <c r="Y187" s="1978"/>
      <c r="AA187" s="178" t="s">
        <v>70</v>
      </c>
      <c r="AB187" s="444"/>
      <c r="AC187" s="841"/>
      <c r="AD187" s="1789"/>
      <c r="AE187" s="1598"/>
      <c r="AF187" s="1789"/>
      <c r="AG187" s="1681"/>
      <c r="AH187" s="1789">
        <f t="shared" ref="AH187:AH200" si="94">AB187+AD187</f>
        <v>0</v>
      </c>
      <c r="AI187" s="1586">
        <f t="shared" ref="AI187:AI201" si="95">AC187+AE187</f>
        <v>0</v>
      </c>
      <c r="AJ187" s="1789">
        <f t="shared" ref="AJ187:AJ200" si="96">AD187+AF187</f>
        <v>0</v>
      </c>
      <c r="AK187" s="1587">
        <f t="shared" ref="AK187:AK200" si="97">AE187+AG187</f>
        <v>0</v>
      </c>
      <c r="AL187" s="1570"/>
      <c r="AM187" s="1612" t="s">
        <v>508</v>
      </c>
      <c r="AN187" s="1862" t="s">
        <v>892</v>
      </c>
      <c r="AO187" s="1999"/>
      <c r="AP187" s="1612" t="s">
        <v>508</v>
      </c>
      <c r="AQ187" s="2001" t="s">
        <v>892</v>
      </c>
      <c r="AR187" s="1841"/>
    </row>
    <row r="188" spans="2:47" ht="13.5" customHeight="1" thickBot="1">
      <c r="B188" s="809"/>
      <c r="C188" s="162" t="s">
        <v>199</v>
      </c>
      <c r="D188" s="130"/>
      <c r="E188" s="263" t="s">
        <v>118</v>
      </c>
      <c r="F188" s="97" t="s">
        <v>119</v>
      </c>
      <c r="G188" s="292" t="s">
        <v>120</v>
      </c>
      <c r="H188" s="313" t="s">
        <v>118</v>
      </c>
      <c r="I188" s="97" t="s">
        <v>119</v>
      </c>
      <c r="J188" s="135" t="s">
        <v>120</v>
      </c>
      <c r="K188" s="263" t="s">
        <v>118</v>
      </c>
      <c r="L188" s="97" t="s">
        <v>119</v>
      </c>
      <c r="M188" s="135" t="s">
        <v>120</v>
      </c>
      <c r="O188" s="871"/>
      <c r="P188" s="1621" t="s">
        <v>119</v>
      </c>
      <c r="Q188" s="1622" t="s">
        <v>120</v>
      </c>
      <c r="R188" s="1621" t="s">
        <v>119</v>
      </c>
      <c r="S188" s="1622" t="s">
        <v>120</v>
      </c>
      <c r="T188" s="1621" t="s">
        <v>119</v>
      </c>
      <c r="U188" s="1622" t="s">
        <v>120</v>
      </c>
      <c r="V188" s="1621" t="s">
        <v>119</v>
      </c>
      <c r="W188" s="1622" t="s">
        <v>120</v>
      </c>
      <c r="X188" s="1804" t="s">
        <v>119</v>
      </c>
      <c r="Y188" s="1822" t="s">
        <v>120</v>
      </c>
      <c r="AA188" s="125" t="s">
        <v>72</v>
      </c>
      <c r="AB188" s="444"/>
      <c r="AC188" s="842"/>
      <c r="AD188" s="1789"/>
      <c r="AE188" s="1598"/>
      <c r="AF188" s="1789"/>
      <c r="AG188" s="1681"/>
      <c r="AH188" s="1789">
        <f t="shared" si="94"/>
        <v>0</v>
      </c>
      <c r="AI188" s="1586">
        <f t="shared" si="95"/>
        <v>0</v>
      </c>
      <c r="AJ188" s="1789">
        <f t="shared" si="96"/>
        <v>0</v>
      </c>
      <c r="AK188" s="1587">
        <f t="shared" si="97"/>
        <v>0</v>
      </c>
      <c r="AM188" s="871"/>
      <c r="AN188" s="1952" t="s">
        <v>119</v>
      </c>
      <c r="AO188" s="2000" t="s">
        <v>120</v>
      </c>
      <c r="AP188" s="2003" t="s">
        <v>67</v>
      </c>
      <c r="AQ188" s="2002" t="s">
        <v>119</v>
      </c>
      <c r="AR188" s="2057" t="s">
        <v>120</v>
      </c>
      <c r="AS188" s="855"/>
      <c r="AU188" s="1920"/>
    </row>
    <row r="189" spans="2:47" ht="13.5" customHeight="1">
      <c r="B189" s="407" t="s">
        <v>105</v>
      </c>
      <c r="C189" s="283" t="s">
        <v>400</v>
      </c>
      <c r="D189" s="981" t="s">
        <v>568</v>
      </c>
      <c r="E189" s="100" t="s">
        <v>106</v>
      </c>
      <c r="F189" s="123">
        <v>183.3</v>
      </c>
      <c r="G189" s="416">
        <v>180</v>
      </c>
      <c r="H189" s="216" t="s">
        <v>108</v>
      </c>
      <c r="I189" s="279">
        <v>7.8</v>
      </c>
      <c r="J189" s="280">
        <v>7.8</v>
      </c>
      <c r="K189" s="480" t="s">
        <v>107</v>
      </c>
      <c r="L189" s="123">
        <v>1</v>
      </c>
      <c r="M189" s="131">
        <v>1</v>
      </c>
      <c r="O189" s="1940" t="s">
        <v>165</v>
      </c>
      <c r="P189" s="1731"/>
      <c r="Q189" s="2018"/>
      <c r="R189" s="1731">
        <f>D205</f>
        <v>50</v>
      </c>
      <c r="S189" s="2018">
        <f>D205</f>
        <v>50</v>
      </c>
      <c r="T189" s="1731"/>
      <c r="U189" s="2018"/>
      <c r="V189" s="1731">
        <f>P189+R189</f>
        <v>50</v>
      </c>
      <c r="W189" s="2019">
        <f>Q189+S189</f>
        <v>50</v>
      </c>
      <c r="X189" s="1731">
        <f>R189+T189</f>
        <v>50</v>
      </c>
      <c r="Y189" s="1583">
        <f>S189+U189</f>
        <v>50</v>
      </c>
      <c r="AA189" s="125" t="s">
        <v>74</v>
      </c>
      <c r="AB189" s="444"/>
      <c r="AC189" s="843"/>
      <c r="AD189" s="1789"/>
      <c r="AE189" s="1598"/>
      <c r="AF189" s="1789"/>
      <c r="AG189" s="1681"/>
      <c r="AH189" s="1789">
        <f t="shared" si="94"/>
        <v>0</v>
      </c>
      <c r="AI189" s="1586">
        <f t="shared" si="95"/>
        <v>0</v>
      </c>
      <c r="AJ189" s="1789">
        <f t="shared" si="96"/>
        <v>0</v>
      </c>
      <c r="AK189" s="1587">
        <f t="shared" si="97"/>
        <v>0</v>
      </c>
      <c r="AM189" s="1992" t="s">
        <v>165</v>
      </c>
      <c r="AN189" s="847">
        <f>P189+R189+T189</f>
        <v>50</v>
      </c>
      <c r="AO189" s="858">
        <f>Q189+S189+U189</f>
        <v>50</v>
      </c>
      <c r="AP189" s="1989" t="str">
        <f t="shared" ref="AP189:AP205" si="98">AA186</f>
        <v>горошек конс. зелён.</v>
      </c>
      <c r="AQ189" s="1801">
        <f t="shared" ref="AQ189:AQ204" si="99">AB186+AD186+AF186</f>
        <v>0</v>
      </c>
      <c r="AR189" s="856">
        <f t="shared" ref="AR189:AR204" si="100">AC186+AE186+AG186</f>
        <v>0</v>
      </c>
    </row>
    <row r="190" spans="2:47" ht="13.5" customHeight="1">
      <c r="B190" s="168"/>
      <c r="C190" s="167" t="s">
        <v>237</v>
      </c>
      <c r="D190" s="11"/>
      <c r="E190" s="185" t="s">
        <v>92</v>
      </c>
      <c r="F190" s="233">
        <v>15.6</v>
      </c>
      <c r="G190" s="193">
        <v>15.6</v>
      </c>
      <c r="H190" s="283" t="s">
        <v>401</v>
      </c>
      <c r="I190" s="276">
        <v>5</v>
      </c>
      <c r="J190" s="236">
        <v>5</v>
      </c>
      <c r="K190" s="186" t="s">
        <v>94</v>
      </c>
      <c r="L190" s="233">
        <v>66</v>
      </c>
      <c r="M190" s="235">
        <v>66</v>
      </c>
      <c r="O190" s="1613" t="s">
        <v>164</v>
      </c>
      <c r="P190" s="1724">
        <f>D193</f>
        <v>30</v>
      </c>
      <c r="Q190" s="2020">
        <f>D193</f>
        <v>30</v>
      </c>
      <c r="R190" s="1724">
        <f>D204</f>
        <v>70</v>
      </c>
      <c r="S190" s="2020">
        <f>D204</f>
        <v>70</v>
      </c>
      <c r="T190" s="1724"/>
      <c r="U190" s="2020"/>
      <c r="V190" s="1724">
        <f t="shared" ref="V190:V218" si="101">P190+R190</f>
        <v>100</v>
      </c>
      <c r="W190" s="1586">
        <f t="shared" ref="W190:W219" si="102">Q190+S190</f>
        <v>100</v>
      </c>
      <c r="X190" s="1724">
        <f t="shared" ref="X190:X223" si="103">R190+T190</f>
        <v>70</v>
      </c>
      <c r="Y190" s="1585">
        <f t="shared" ref="Y190:Y219" si="104">S190+U190</f>
        <v>70</v>
      </c>
      <c r="AA190" s="126" t="s">
        <v>112</v>
      </c>
      <c r="AB190" s="444"/>
      <c r="AC190" s="842"/>
      <c r="AD190" s="1969"/>
      <c r="AE190" s="1673"/>
      <c r="AF190" s="1789"/>
      <c r="AG190" s="1681"/>
      <c r="AH190" s="1789">
        <f t="shared" si="94"/>
        <v>0</v>
      </c>
      <c r="AI190" s="1586">
        <f t="shared" si="95"/>
        <v>0</v>
      </c>
      <c r="AJ190" s="1789">
        <f t="shared" si="96"/>
        <v>0</v>
      </c>
      <c r="AK190" s="1587">
        <f t="shared" si="97"/>
        <v>0</v>
      </c>
      <c r="AM190" s="1944" t="s">
        <v>164</v>
      </c>
      <c r="AN190" s="847">
        <f>P190+R190+T190</f>
        <v>100</v>
      </c>
      <c r="AO190" s="858">
        <f>Q190+S190+U190</f>
        <v>100</v>
      </c>
      <c r="AP190" s="838" t="str">
        <f t="shared" si="98"/>
        <v>репа бакл</v>
      </c>
      <c r="AQ190" s="1801">
        <f t="shared" si="99"/>
        <v>0</v>
      </c>
      <c r="AR190" s="856">
        <f t="shared" si="100"/>
        <v>0</v>
      </c>
    </row>
    <row r="191" spans="2:47" ht="12.75" customHeight="1">
      <c r="B191" s="246" t="s">
        <v>622</v>
      </c>
      <c r="C191" s="241" t="s">
        <v>104</v>
      </c>
      <c r="D191" s="428">
        <v>200</v>
      </c>
      <c r="E191" s="185" t="s">
        <v>102</v>
      </c>
      <c r="F191" s="1062">
        <v>15</v>
      </c>
      <c r="G191" s="741">
        <v>15</v>
      </c>
      <c r="H191" s="337"/>
      <c r="I191" s="184"/>
      <c r="J191" s="184"/>
      <c r="K191" s="301" t="s">
        <v>57</v>
      </c>
      <c r="L191" s="498">
        <v>7</v>
      </c>
      <c r="M191" s="499">
        <v>7</v>
      </c>
      <c r="N191" s="517"/>
      <c r="O191" s="1941" t="s">
        <v>92</v>
      </c>
      <c r="P191" s="1724">
        <f>F190</f>
        <v>15.6</v>
      </c>
      <c r="Q191" s="1600">
        <f>G190</f>
        <v>15.6</v>
      </c>
      <c r="R191" s="1724"/>
      <c r="S191" s="1600"/>
      <c r="T191" s="1724"/>
      <c r="U191" s="1600"/>
      <c r="V191" s="1724">
        <f t="shared" si="101"/>
        <v>15.6</v>
      </c>
      <c r="W191" s="1586">
        <f t="shared" si="102"/>
        <v>15.6</v>
      </c>
      <c r="X191" s="1724">
        <f t="shared" si="103"/>
        <v>0</v>
      </c>
      <c r="Y191" s="1585">
        <f t="shared" si="104"/>
        <v>0</v>
      </c>
      <c r="AA191" s="125" t="s">
        <v>161</v>
      </c>
      <c r="AB191" s="444"/>
      <c r="AC191" s="842"/>
      <c r="AD191" s="1789"/>
      <c r="AE191" s="1598"/>
      <c r="AF191" s="1789"/>
      <c r="AG191" s="1681"/>
      <c r="AH191" s="1789">
        <f t="shared" si="94"/>
        <v>0</v>
      </c>
      <c r="AI191" s="1586">
        <f t="shared" si="95"/>
        <v>0</v>
      </c>
      <c r="AJ191" s="1789">
        <f t="shared" si="96"/>
        <v>0</v>
      </c>
      <c r="AK191" s="1587">
        <f t="shared" si="97"/>
        <v>0</v>
      </c>
      <c r="AM191" s="1993" t="s">
        <v>92</v>
      </c>
      <c r="AN191" s="847">
        <f t="shared" ref="AN191:AN201" si="105">P191+R191+T191</f>
        <v>15.6</v>
      </c>
      <c r="AO191" s="858">
        <f t="shared" ref="AO191:AO219" si="106">Q191+S191+U191</f>
        <v>15.6</v>
      </c>
      <c r="AP191" s="838" t="str">
        <f t="shared" si="98"/>
        <v>кабачек</v>
      </c>
      <c r="AQ191" s="1801">
        <f t="shared" si="99"/>
        <v>0</v>
      </c>
      <c r="AR191" s="856">
        <f t="shared" si="100"/>
        <v>0</v>
      </c>
    </row>
    <row r="192" spans="2:47" ht="15" customHeight="1" thickBot="1">
      <c r="B192" s="1180" t="s">
        <v>322</v>
      </c>
      <c r="C192" s="241" t="s">
        <v>309</v>
      </c>
      <c r="D192" s="284">
        <v>10</v>
      </c>
      <c r="E192" s="249" t="s">
        <v>175</v>
      </c>
      <c r="F192" s="1063" t="s">
        <v>983</v>
      </c>
      <c r="G192" s="1064">
        <v>7.8</v>
      </c>
      <c r="H192" s="423"/>
      <c r="K192" s="186" t="s">
        <v>94</v>
      </c>
      <c r="L192" s="233">
        <v>150</v>
      </c>
      <c r="M192" s="235">
        <v>150</v>
      </c>
      <c r="O192" s="1614" t="s">
        <v>900</v>
      </c>
      <c r="P192" s="1725">
        <f t="shared" ref="P192:U192" si="107">AB224</f>
        <v>0</v>
      </c>
      <c r="Q192" s="1596">
        <f t="shared" si="107"/>
        <v>0</v>
      </c>
      <c r="R192" s="1725">
        <f t="shared" si="107"/>
        <v>20</v>
      </c>
      <c r="S192" s="1595">
        <f t="shared" si="107"/>
        <v>20</v>
      </c>
      <c r="T192" s="1725">
        <f t="shared" si="107"/>
        <v>10.8</v>
      </c>
      <c r="U192" s="1595">
        <f t="shared" si="107"/>
        <v>10.8</v>
      </c>
      <c r="V192" s="1725">
        <f>P192+R192</f>
        <v>20</v>
      </c>
      <c r="W192" s="1594">
        <f t="shared" si="102"/>
        <v>20</v>
      </c>
      <c r="X192" s="1725">
        <f t="shared" si="103"/>
        <v>30.8</v>
      </c>
      <c r="Y192" s="1820">
        <f t="shared" si="104"/>
        <v>30.8</v>
      </c>
      <c r="AA192" s="125" t="s">
        <v>155</v>
      </c>
      <c r="AB192" s="2047"/>
      <c r="AC192" s="842"/>
      <c r="AD192" s="1789"/>
      <c r="AE192" s="1598"/>
      <c r="AF192" s="1789"/>
      <c r="AG192" s="1681"/>
      <c r="AH192" s="1789">
        <f t="shared" si="94"/>
        <v>0</v>
      </c>
      <c r="AI192" s="1586">
        <f t="shared" si="95"/>
        <v>0</v>
      </c>
      <c r="AJ192" s="1789">
        <f t="shared" si="96"/>
        <v>0</v>
      </c>
      <c r="AK192" s="1587">
        <f t="shared" si="97"/>
        <v>0</v>
      </c>
      <c r="AM192" s="1996" t="s">
        <v>900</v>
      </c>
      <c r="AN192" s="1742">
        <f>P192+R192+T192</f>
        <v>30.8</v>
      </c>
      <c r="AO192" s="858">
        <f t="shared" si="106"/>
        <v>30.8</v>
      </c>
      <c r="AP192" s="838" t="str">
        <f t="shared" si="98"/>
        <v>тыква</v>
      </c>
      <c r="AQ192" s="1801">
        <f t="shared" si="99"/>
        <v>0</v>
      </c>
      <c r="AR192" s="856">
        <f t="shared" si="100"/>
        <v>0</v>
      </c>
    </row>
    <row r="193" spans="2:44" ht="15.75" customHeight="1" thickBot="1">
      <c r="B193" s="246" t="s">
        <v>10</v>
      </c>
      <c r="C193" s="241" t="s">
        <v>11</v>
      </c>
      <c r="D193" s="428">
        <v>30</v>
      </c>
      <c r="E193" s="185" t="s">
        <v>402</v>
      </c>
      <c r="F193" s="1065">
        <v>7.8</v>
      </c>
      <c r="G193" s="742">
        <v>7.8</v>
      </c>
      <c r="H193" s="473" t="s">
        <v>1009</v>
      </c>
      <c r="I193" s="38"/>
      <c r="J193" s="50"/>
      <c r="K193" s="866"/>
      <c r="L193" s="200"/>
      <c r="M193" s="258"/>
      <c r="N193" s="1157"/>
      <c r="O193" s="1613" t="s">
        <v>123</v>
      </c>
      <c r="P193" s="1724"/>
      <c r="Q193" s="1569"/>
      <c r="R193" s="1724"/>
      <c r="S193" s="1569"/>
      <c r="T193" s="1724"/>
      <c r="U193" s="1569"/>
      <c r="V193" s="1724">
        <f t="shared" si="101"/>
        <v>0</v>
      </c>
      <c r="W193" s="1586">
        <f t="shared" si="102"/>
        <v>0</v>
      </c>
      <c r="X193" s="1724">
        <f t="shared" si="103"/>
        <v>0</v>
      </c>
      <c r="Y193" s="1585">
        <f t="shared" si="104"/>
        <v>0</v>
      </c>
      <c r="AA193" s="125" t="s">
        <v>158</v>
      </c>
      <c r="AB193" s="444"/>
      <c r="AC193" s="844"/>
      <c r="AD193" s="1789"/>
      <c r="AE193" s="1598"/>
      <c r="AF193" s="1789"/>
      <c r="AG193" s="1681"/>
      <c r="AH193" s="1789">
        <f t="shared" si="94"/>
        <v>0</v>
      </c>
      <c r="AI193" s="1586">
        <f t="shared" si="95"/>
        <v>0</v>
      </c>
      <c r="AJ193" s="1789">
        <f t="shared" si="96"/>
        <v>0</v>
      </c>
      <c r="AK193" s="1587">
        <f t="shared" si="97"/>
        <v>0</v>
      </c>
      <c r="AM193" s="1944" t="s">
        <v>123</v>
      </c>
      <c r="AN193" s="847">
        <f t="shared" si="105"/>
        <v>0</v>
      </c>
      <c r="AO193" s="858">
        <f t="shared" si="106"/>
        <v>0</v>
      </c>
      <c r="AP193" s="838" t="str">
        <f t="shared" si="98"/>
        <v>томат пюре</v>
      </c>
      <c r="AQ193" s="1801">
        <f t="shared" si="99"/>
        <v>0</v>
      </c>
      <c r="AR193" s="856">
        <f t="shared" si="100"/>
        <v>0</v>
      </c>
    </row>
    <row r="194" spans="2:44" ht="13.5" customHeight="1" thickBot="1">
      <c r="B194" s="266" t="s">
        <v>1004</v>
      </c>
      <c r="C194" s="241" t="s">
        <v>1009</v>
      </c>
      <c r="D194" s="284">
        <v>130</v>
      </c>
      <c r="E194" s="249" t="s">
        <v>382</v>
      </c>
      <c r="F194" s="1066">
        <v>7.8</v>
      </c>
      <c r="G194" s="1064">
        <v>7.8</v>
      </c>
      <c r="H194" s="263" t="s">
        <v>118</v>
      </c>
      <c r="I194" s="97" t="s">
        <v>119</v>
      </c>
      <c r="J194" s="135" t="s">
        <v>120</v>
      </c>
      <c r="K194" s="879" t="s">
        <v>403</v>
      </c>
      <c r="L194" s="29"/>
      <c r="M194" s="74"/>
      <c r="O194" s="595" t="s">
        <v>52</v>
      </c>
      <c r="P194" s="1724"/>
      <c r="Q194" s="1586"/>
      <c r="R194" s="1724">
        <f>F199+I200</f>
        <v>195.22</v>
      </c>
      <c r="S194" s="1569">
        <f>G199+J200</f>
        <v>146</v>
      </c>
      <c r="T194" s="1724"/>
      <c r="U194" s="1569"/>
      <c r="V194" s="1724">
        <f t="shared" si="101"/>
        <v>195.22</v>
      </c>
      <c r="W194" s="1586">
        <f t="shared" si="102"/>
        <v>146</v>
      </c>
      <c r="X194" s="1724">
        <f t="shared" si="103"/>
        <v>195.22</v>
      </c>
      <c r="Y194" s="1585">
        <f t="shared" si="104"/>
        <v>146</v>
      </c>
      <c r="AA194" s="125" t="s">
        <v>101</v>
      </c>
      <c r="AB194" s="444"/>
      <c r="AC194" s="844"/>
      <c r="AD194" s="1969">
        <f>F201+I202</f>
        <v>26.4</v>
      </c>
      <c r="AE194" s="1673">
        <f>G201+J202</f>
        <v>22</v>
      </c>
      <c r="AF194" s="1789"/>
      <c r="AG194" s="1681"/>
      <c r="AH194" s="1789">
        <f t="shared" si="94"/>
        <v>26.4</v>
      </c>
      <c r="AI194" s="1586">
        <f t="shared" si="95"/>
        <v>22</v>
      </c>
      <c r="AJ194" s="1789">
        <f t="shared" si="96"/>
        <v>26.4</v>
      </c>
      <c r="AK194" s="1587">
        <f t="shared" si="97"/>
        <v>22</v>
      </c>
      <c r="AM194" s="495" t="s">
        <v>52</v>
      </c>
      <c r="AN194" s="847">
        <f t="shared" si="105"/>
        <v>195.22</v>
      </c>
      <c r="AO194" s="858">
        <f t="shared" si="106"/>
        <v>146</v>
      </c>
      <c r="AP194" s="838" t="str">
        <f t="shared" si="98"/>
        <v>зелень св.</v>
      </c>
      <c r="AQ194" s="1801">
        <f t="shared" si="99"/>
        <v>0</v>
      </c>
      <c r="AR194" s="856">
        <f t="shared" si="100"/>
        <v>0</v>
      </c>
    </row>
    <row r="195" spans="2:44" ht="15.75" thickBot="1">
      <c r="B195" s="61"/>
      <c r="C195" s="999"/>
      <c r="D195" s="71"/>
      <c r="E195" s="513"/>
      <c r="F195" s="184"/>
      <c r="G195" s="184"/>
      <c r="H195" s="480" t="s">
        <v>328</v>
      </c>
      <c r="I195" s="326">
        <v>147.55000000000001</v>
      </c>
      <c r="J195" s="421">
        <v>130</v>
      </c>
      <c r="K195" s="414" t="s">
        <v>118</v>
      </c>
      <c r="L195" s="252" t="s">
        <v>119</v>
      </c>
      <c r="M195" s="253" t="s">
        <v>120</v>
      </c>
      <c r="O195" s="1615" t="s">
        <v>96</v>
      </c>
      <c r="P195" s="2050">
        <f t="shared" ref="P195:U195" si="108">AB201</f>
        <v>0</v>
      </c>
      <c r="Q195" s="1598">
        <f t="shared" si="108"/>
        <v>0</v>
      </c>
      <c r="R195" s="1726">
        <f t="shared" si="108"/>
        <v>133.1</v>
      </c>
      <c r="S195" s="1598">
        <f t="shared" si="108"/>
        <v>112.4</v>
      </c>
      <c r="T195" s="1726">
        <f t="shared" si="108"/>
        <v>64.97</v>
      </c>
      <c r="U195" s="1598">
        <f t="shared" si="108"/>
        <v>48.72</v>
      </c>
      <c r="V195" s="1726">
        <f>P195+R195</f>
        <v>133.1</v>
      </c>
      <c r="W195" s="1597">
        <f t="shared" si="102"/>
        <v>112.4</v>
      </c>
      <c r="X195" s="1726">
        <f>R195+T195</f>
        <v>198.07</v>
      </c>
      <c r="Y195" s="1604">
        <f t="shared" si="104"/>
        <v>161.12</v>
      </c>
      <c r="AA195" s="125" t="s">
        <v>79</v>
      </c>
      <c r="AB195" s="444"/>
      <c r="AC195" s="842"/>
      <c r="AD195" s="1789">
        <f>F200+I201</f>
        <v>38.9</v>
      </c>
      <c r="AE195" s="1598">
        <f>G200+J201</f>
        <v>30.4</v>
      </c>
      <c r="AF195" s="1789">
        <f>F216</f>
        <v>64.97</v>
      </c>
      <c r="AG195" s="1681">
        <f>G216</f>
        <v>48.72</v>
      </c>
      <c r="AH195" s="1789">
        <f t="shared" si="94"/>
        <v>38.9</v>
      </c>
      <c r="AI195" s="1586">
        <f t="shared" si="95"/>
        <v>30.4</v>
      </c>
      <c r="AJ195" s="1789">
        <f t="shared" si="96"/>
        <v>103.87</v>
      </c>
      <c r="AK195" s="1587">
        <f t="shared" si="97"/>
        <v>79.12</v>
      </c>
      <c r="AM195" s="2016" t="s">
        <v>96</v>
      </c>
      <c r="AN195" s="2058">
        <f>P195+R195+T195</f>
        <v>198.07</v>
      </c>
      <c r="AO195" s="858">
        <f t="shared" si="106"/>
        <v>161.12</v>
      </c>
      <c r="AP195" s="838" t="str">
        <f t="shared" si="98"/>
        <v>капуста свеж.</v>
      </c>
      <c r="AQ195" s="1801">
        <f t="shared" si="99"/>
        <v>0</v>
      </c>
      <c r="AR195" s="856">
        <f t="shared" si="100"/>
        <v>0</v>
      </c>
    </row>
    <row r="196" spans="2:44" ht="15" customHeight="1" thickBot="1">
      <c r="B196" s="1139" t="s">
        <v>582</v>
      </c>
      <c r="C196" s="1136"/>
      <c r="D196" s="1137">
        <f>D191+D192+D193+D194+D195+195+5</f>
        <v>570</v>
      </c>
      <c r="E196" s="57"/>
      <c r="F196" s="29"/>
      <c r="G196" s="29"/>
      <c r="H196" s="237"/>
      <c r="I196" s="232"/>
      <c r="J196" s="191"/>
      <c r="K196" s="187" t="s">
        <v>55</v>
      </c>
      <c r="L196" s="485">
        <v>10</v>
      </c>
      <c r="M196" s="290">
        <v>10</v>
      </c>
      <c r="O196" s="1623" t="s">
        <v>901</v>
      </c>
      <c r="P196" s="1727">
        <f t="shared" ref="P196:U196" si="109">AB208</f>
        <v>147.55000000000001</v>
      </c>
      <c r="Q196" s="1586">
        <f t="shared" si="109"/>
        <v>130</v>
      </c>
      <c r="R196" s="1727">
        <f t="shared" si="109"/>
        <v>0</v>
      </c>
      <c r="S196" s="1569">
        <f t="shared" si="109"/>
        <v>0</v>
      </c>
      <c r="T196" s="1727">
        <f t="shared" si="109"/>
        <v>0</v>
      </c>
      <c r="U196" s="1569">
        <f t="shared" si="109"/>
        <v>0</v>
      </c>
      <c r="V196" s="1727">
        <f>P196+R196</f>
        <v>147.55000000000001</v>
      </c>
      <c r="W196" s="1586">
        <f t="shared" si="102"/>
        <v>130</v>
      </c>
      <c r="X196" s="1727">
        <f>R196+T196</f>
        <v>0</v>
      </c>
      <c r="Y196" s="1585">
        <f t="shared" si="104"/>
        <v>0</v>
      </c>
      <c r="AA196" s="125" t="s">
        <v>86</v>
      </c>
      <c r="AB196" s="444"/>
      <c r="AC196" s="845"/>
      <c r="AD196" s="1789"/>
      <c r="AE196" s="1598"/>
      <c r="AF196" s="1789"/>
      <c r="AG196" s="1681"/>
      <c r="AH196" s="1789">
        <f t="shared" si="94"/>
        <v>0</v>
      </c>
      <c r="AI196" s="1586">
        <f t="shared" si="95"/>
        <v>0</v>
      </c>
      <c r="AJ196" s="1789">
        <f t="shared" si="96"/>
        <v>0</v>
      </c>
      <c r="AK196" s="1587">
        <f t="shared" si="97"/>
        <v>0</v>
      </c>
      <c r="AM196" s="1943" t="s">
        <v>901</v>
      </c>
      <c r="AN196" s="847">
        <f t="shared" si="105"/>
        <v>147.55000000000001</v>
      </c>
      <c r="AO196" s="858">
        <f t="shared" si="106"/>
        <v>130</v>
      </c>
      <c r="AP196" s="838" t="str">
        <f t="shared" si="98"/>
        <v>капуста квашен.</v>
      </c>
      <c r="AQ196" s="1801">
        <f t="shared" si="99"/>
        <v>0</v>
      </c>
      <c r="AR196" s="856">
        <f t="shared" si="100"/>
        <v>0</v>
      </c>
    </row>
    <row r="197" spans="2:44" ht="12.75" customHeight="1" thickBot="1">
      <c r="B197" s="403"/>
      <c r="C197" s="162" t="s">
        <v>152</v>
      </c>
      <c r="D197" s="54"/>
      <c r="E197" s="810" t="s">
        <v>153</v>
      </c>
      <c r="F197" s="38"/>
      <c r="G197" s="50"/>
      <c r="H197" s="312" t="s">
        <v>346</v>
      </c>
      <c r="I197" s="312"/>
      <c r="J197" s="312"/>
      <c r="K197" s="1148" t="s">
        <v>581</v>
      </c>
      <c r="L197" s="278"/>
      <c r="M197" s="50"/>
      <c r="O197" s="1616" t="s">
        <v>122</v>
      </c>
      <c r="P197" s="1727"/>
      <c r="Q197" s="1569"/>
      <c r="R197" s="1727"/>
      <c r="S197" s="1569"/>
      <c r="T197" s="1727"/>
      <c r="U197" s="1569"/>
      <c r="V197" s="1724">
        <f t="shared" si="101"/>
        <v>0</v>
      </c>
      <c r="W197" s="1586">
        <f t="shared" si="102"/>
        <v>0</v>
      </c>
      <c r="X197" s="1727">
        <f>R197+T197</f>
        <v>0</v>
      </c>
      <c r="Y197" s="1585">
        <f t="shared" si="104"/>
        <v>0</v>
      </c>
      <c r="AA197" s="125" t="s">
        <v>160</v>
      </c>
      <c r="AB197" s="444"/>
      <c r="AC197" s="846"/>
      <c r="AD197" s="1789"/>
      <c r="AE197" s="1598"/>
      <c r="AF197" s="1789"/>
      <c r="AG197" s="1681"/>
      <c r="AH197" s="1789">
        <f t="shared" si="94"/>
        <v>0</v>
      </c>
      <c r="AI197" s="1586">
        <f t="shared" si="95"/>
        <v>0</v>
      </c>
      <c r="AJ197" s="1789">
        <f t="shared" si="96"/>
        <v>0</v>
      </c>
      <c r="AK197" s="1587">
        <f t="shared" si="97"/>
        <v>0</v>
      </c>
      <c r="AM197" s="1947" t="s">
        <v>122</v>
      </c>
      <c r="AN197" s="847">
        <f t="shared" si="105"/>
        <v>0</v>
      </c>
      <c r="AO197" s="858">
        <f t="shared" si="106"/>
        <v>0</v>
      </c>
      <c r="AP197" s="838" t="str">
        <f t="shared" si="98"/>
        <v>лук репчатый</v>
      </c>
      <c r="AQ197" s="1801">
        <f t="shared" si="99"/>
        <v>26.4</v>
      </c>
      <c r="AR197" s="856">
        <f t="shared" si="100"/>
        <v>22</v>
      </c>
    </row>
    <row r="198" spans="2:44" ht="15" customHeight="1" thickBot="1">
      <c r="B198" s="1184" t="s">
        <v>625</v>
      </c>
      <c r="C198" s="283" t="s">
        <v>581</v>
      </c>
      <c r="D198" s="239">
        <v>60</v>
      </c>
      <c r="E198" s="406" t="s">
        <v>118</v>
      </c>
      <c r="F198" s="97" t="s">
        <v>119</v>
      </c>
      <c r="G198" s="135" t="s">
        <v>120</v>
      </c>
      <c r="H198" s="281" t="s">
        <v>118</v>
      </c>
      <c r="I198" s="97" t="s">
        <v>119</v>
      </c>
      <c r="J198" s="135" t="s">
        <v>120</v>
      </c>
      <c r="K198" s="263" t="s">
        <v>118</v>
      </c>
      <c r="L198" s="97" t="s">
        <v>119</v>
      </c>
      <c r="M198" s="135" t="s">
        <v>120</v>
      </c>
      <c r="O198" s="1941" t="s">
        <v>163</v>
      </c>
      <c r="P198" s="1724"/>
      <c r="Q198" s="1569"/>
      <c r="R198" s="1724"/>
      <c r="S198" s="1569"/>
      <c r="T198" s="1724"/>
      <c r="U198" s="1569"/>
      <c r="V198" s="1724">
        <f t="shared" si="101"/>
        <v>0</v>
      </c>
      <c r="W198" s="1586">
        <f t="shared" si="102"/>
        <v>0</v>
      </c>
      <c r="X198" s="1724">
        <f t="shared" si="103"/>
        <v>0</v>
      </c>
      <c r="Y198" s="1585">
        <f t="shared" si="104"/>
        <v>0</v>
      </c>
      <c r="AA198" s="125" t="s">
        <v>157</v>
      </c>
      <c r="AB198" s="2048"/>
      <c r="AC198" s="846"/>
      <c r="AD198" s="1969">
        <f>L199</f>
        <v>67.8</v>
      </c>
      <c r="AE198" s="1597">
        <f>M199</f>
        <v>60</v>
      </c>
      <c r="AF198" s="1789"/>
      <c r="AG198" s="1681"/>
      <c r="AH198" s="1789">
        <f t="shared" si="94"/>
        <v>67.8</v>
      </c>
      <c r="AI198" s="1586">
        <f t="shared" si="95"/>
        <v>60</v>
      </c>
      <c r="AJ198" s="1789">
        <f t="shared" si="96"/>
        <v>67.8</v>
      </c>
      <c r="AK198" s="1587">
        <f t="shared" si="97"/>
        <v>60</v>
      </c>
      <c r="AM198" s="1993" t="s">
        <v>163</v>
      </c>
      <c r="AN198" s="847">
        <f t="shared" si="105"/>
        <v>0</v>
      </c>
      <c r="AO198" s="858">
        <f t="shared" si="106"/>
        <v>0</v>
      </c>
      <c r="AP198" s="838" t="str">
        <f t="shared" si="98"/>
        <v>морковь</v>
      </c>
      <c r="AQ198" s="1801">
        <f t="shared" si="99"/>
        <v>103.87</v>
      </c>
      <c r="AR198" s="856">
        <f t="shared" si="100"/>
        <v>79.12</v>
      </c>
    </row>
    <row r="199" spans="2:44" ht="15" customHeight="1">
      <c r="B199" s="1522" t="s">
        <v>825</v>
      </c>
      <c r="C199" s="241" t="s">
        <v>134</v>
      </c>
      <c r="D199" s="419">
        <v>250</v>
      </c>
      <c r="E199" s="100" t="s">
        <v>52</v>
      </c>
      <c r="F199" s="123">
        <v>66.75</v>
      </c>
      <c r="G199" s="264">
        <v>50</v>
      </c>
      <c r="H199" s="480" t="s">
        <v>188</v>
      </c>
      <c r="I199" s="325">
        <v>96.39</v>
      </c>
      <c r="J199" s="2553">
        <v>70.099999999999994</v>
      </c>
      <c r="K199" s="418" t="s">
        <v>66</v>
      </c>
      <c r="L199" s="279">
        <v>67.8</v>
      </c>
      <c r="M199" s="280">
        <v>60</v>
      </c>
      <c r="O199" s="556" t="s">
        <v>895</v>
      </c>
      <c r="P199" s="1724">
        <f t="shared" ref="P199:U199" si="110">AB211</f>
        <v>0</v>
      </c>
      <c r="Q199" s="1569">
        <f t="shared" si="110"/>
        <v>0</v>
      </c>
      <c r="R199" s="1724">
        <f t="shared" si="110"/>
        <v>99.334999999999994</v>
      </c>
      <c r="S199" s="1569">
        <f t="shared" si="110"/>
        <v>72.599999999999994</v>
      </c>
      <c r="T199" s="1724">
        <f t="shared" si="110"/>
        <v>0</v>
      </c>
      <c r="U199" s="1569">
        <f t="shared" si="110"/>
        <v>0</v>
      </c>
      <c r="V199" s="1724">
        <f t="shared" si="101"/>
        <v>99.334999999999994</v>
      </c>
      <c r="W199" s="1586">
        <f t="shared" si="102"/>
        <v>72.599999999999994</v>
      </c>
      <c r="X199" s="1724">
        <f t="shared" si="103"/>
        <v>99.334999999999994</v>
      </c>
      <c r="Y199" s="1585">
        <f t="shared" si="104"/>
        <v>72.599999999999994</v>
      </c>
      <c r="AA199" s="125" t="s">
        <v>156</v>
      </c>
      <c r="AB199" s="444"/>
      <c r="AC199" s="845"/>
      <c r="AD199" s="1789"/>
      <c r="AE199" s="1597"/>
      <c r="AF199" s="1789"/>
      <c r="AG199" s="1681"/>
      <c r="AH199" s="1789">
        <f t="shared" si="94"/>
        <v>0</v>
      </c>
      <c r="AI199" s="1586">
        <f t="shared" si="95"/>
        <v>0</v>
      </c>
      <c r="AJ199" s="1789">
        <f t="shared" si="96"/>
        <v>0</v>
      </c>
      <c r="AK199" s="1587">
        <f t="shared" si="97"/>
        <v>0</v>
      </c>
      <c r="AM199" s="560" t="s">
        <v>895</v>
      </c>
      <c r="AN199" s="847">
        <f t="shared" si="105"/>
        <v>99.334999999999994</v>
      </c>
      <c r="AO199" s="858">
        <f t="shared" si="106"/>
        <v>72.599999999999994</v>
      </c>
      <c r="AP199" s="838" t="str">
        <f t="shared" si="98"/>
        <v>свекла</v>
      </c>
      <c r="AQ199" s="1801">
        <f t="shared" si="99"/>
        <v>0</v>
      </c>
      <c r="AR199" s="856">
        <f t="shared" si="100"/>
        <v>0</v>
      </c>
    </row>
    <row r="200" spans="2:44" ht="16.5" customHeight="1" thickBot="1">
      <c r="B200" s="245" t="s">
        <v>345</v>
      </c>
      <c r="C200" s="336" t="s">
        <v>346</v>
      </c>
      <c r="D200" s="332" t="s">
        <v>765</v>
      </c>
      <c r="E200" s="185" t="s">
        <v>79</v>
      </c>
      <c r="F200" s="233">
        <v>12.5</v>
      </c>
      <c r="G200" s="257">
        <v>10</v>
      </c>
      <c r="H200" s="185" t="s">
        <v>52</v>
      </c>
      <c r="I200" s="233">
        <v>128.47</v>
      </c>
      <c r="J200" s="235">
        <v>96</v>
      </c>
      <c r="K200" s="61"/>
      <c r="M200" s="71"/>
      <c r="O200" s="1613" t="s">
        <v>894</v>
      </c>
      <c r="P200" s="1724">
        <f t="shared" ref="P200:U200" si="111">AB215</f>
        <v>0</v>
      </c>
      <c r="Q200" s="1586">
        <f t="shared" si="111"/>
        <v>0</v>
      </c>
      <c r="R200" s="1724">
        <f t="shared" si="111"/>
        <v>0</v>
      </c>
      <c r="S200" s="1586">
        <f t="shared" si="111"/>
        <v>0</v>
      </c>
      <c r="T200" s="1724">
        <f t="shared" si="111"/>
        <v>0</v>
      </c>
      <c r="U200" s="1586">
        <f t="shared" si="111"/>
        <v>0</v>
      </c>
      <c r="V200" s="1724">
        <f t="shared" si="101"/>
        <v>0</v>
      </c>
      <c r="W200" s="1586">
        <f t="shared" si="102"/>
        <v>0</v>
      </c>
      <c r="X200" s="1724">
        <f t="shared" si="103"/>
        <v>0</v>
      </c>
      <c r="Y200" s="1585">
        <f t="shared" si="104"/>
        <v>0</v>
      </c>
      <c r="AA200" s="2004" t="s">
        <v>209</v>
      </c>
      <c r="AB200" s="1779"/>
      <c r="AC200" s="1710"/>
      <c r="AD200" s="1790"/>
      <c r="AE200" s="2005"/>
      <c r="AF200" s="1790"/>
      <c r="AG200" s="2006"/>
      <c r="AH200" s="1790">
        <f t="shared" si="94"/>
        <v>0</v>
      </c>
      <c r="AI200" s="1590">
        <f t="shared" si="95"/>
        <v>0</v>
      </c>
      <c r="AJ200" s="1790">
        <f t="shared" si="96"/>
        <v>0</v>
      </c>
      <c r="AK200" s="2007">
        <f t="shared" si="97"/>
        <v>0</v>
      </c>
      <c r="AM200" s="1944" t="s">
        <v>894</v>
      </c>
      <c r="AN200" s="847">
        <f t="shared" si="105"/>
        <v>0</v>
      </c>
      <c r="AO200" s="858">
        <f t="shared" si="106"/>
        <v>0</v>
      </c>
      <c r="AP200" s="838" t="str">
        <f t="shared" si="98"/>
        <v>помидор св.</v>
      </c>
      <c r="AQ200" s="1801">
        <f t="shared" si="99"/>
        <v>0</v>
      </c>
      <c r="AR200" s="856">
        <f t="shared" si="100"/>
        <v>0</v>
      </c>
    </row>
    <row r="201" spans="2:44" ht="14.25" customHeight="1" thickBot="1">
      <c r="B201" s="156" t="s">
        <v>490</v>
      </c>
      <c r="C201" s="283" t="s">
        <v>154</v>
      </c>
      <c r="D201" s="166">
        <v>200</v>
      </c>
      <c r="E201" s="185" t="s">
        <v>232</v>
      </c>
      <c r="F201" s="233">
        <v>12</v>
      </c>
      <c r="G201" s="257">
        <v>10</v>
      </c>
      <c r="H201" s="185" t="s">
        <v>79</v>
      </c>
      <c r="I201" s="233">
        <v>26.4</v>
      </c>
      <c r="J201" s="235">
        <v>20.399999999999999</v>
      </c>
      <c r="K201" s="1493" t="s">
        <v>154</v>
      </c>
      <c r="L201" s="1496"/>
      <c r="M201" s="471"/>
      <c r="O201" s="1613" t="s">
        <v>150</v>
      </c>
      <c r="P201" s="1724"/>
      <c r="Q201" s="1586"/>
      <c r="R201" s="1724"/>
      <c r="S201" s="1569"/>
      <c r="T201" s="1727"/>
      <c r="U201" s="1569"/>
      <c r="V201" s="1724">
        <f t="shared" si="101"/>
        <v>0</v>
      </c>
      <c r="W201" s="1586">
        <f t="shared" si="102"/>
        <v>0</v>
      </c>
      <c r="X201" s="1724">
        <f t="shared" si="103"/>
        <v>0</v>
      </c>
      <c r="Y201" s="1585">
        <f t="shared" si="104"/>
        <v>0</v>
      </c>
      <c r="AA201" s="2013" t="s">
        <v>96</v>
      </c>
      <c r="AB201" s="1963">
        <f t="shared" ref="AB201:AG201" si="112">SUM(AB186:AB200)</f>
        <v>0</v>
      </c>
      <c r="AC201" s="2014">
        <f t="shared" si="112"/>
        <v>0</v>
      </c>
      <c r="AD201" s="1964">
        <f t="shared" si="112"/>
        <v>133.1</v>
      </c>
      <c r="AE201" s="2012">
        <f t="shared" si="112"/>
        <v>112.4</v>
      </c>
      <c r="AF201" s="1964">
        <f t="shared" si="112"/>
        <v>64.97</v>
      </c>
      <c r="AG201" s="2012">
        <f t="shared" si="112"/>
        <v>48.72</v>
      </c>
      <c r="AH201" s="1964">
        <f>AB201+AD201</f>
        <v>133.1</v>
      </c>
      <c r="AI201" s="2015">
        <f t="shared" si="95"/>
        <v>112.4</v>
      </c>
      <c r="AJ201" s="1964">
        <f>AD201+AF201</f>
        <v>198.07</v>
      </c>
      <c r="AK201" s="1717">
        <f>SUM(AK186:AK200)</f>
        <v>161.12</v>
      </c>
      <c r="AM201" s="1944" t="s">
        <v>150</v>
      </c>
      <c r="AN201" s="847">
        <f t="shared" si="105"/>
        <v>0</v>
      </c>
      <c r="AO201" s="858">
        <f t="shared" si="106"/>
        <v>0</v>
      </c>
      <c r="AP201" s="838" t="str">
        <f t="shared" si="98"/>
        <v>огурец свежий</v>
      </c>
      <c r="AQ201" s="1801">
        <f t="shared" si="99"/>
        <v>67.8</v>
      </c>
      <c r="AR201" s="856">
        <f t="shared" si="100"/>
        <v>60</v>
      </c>
    </row>
    <row r="202" spans="2:44" ht="15" customHeight="1" thickBot="1">
      <c r="B202" s="96" t="s">
        <v>1017</v>
      </c>
      <c r="C202" s="1099" t="s">
        <v>1016</v>
      </c>
      <c r="D202" s="71"/>
      <c r="E202" s="185" t="s">
        <v>526</v>
      </c>
      <c r="F202" s="233">
        <v>20</v>
      </c>
      <c r="G202" s="235">
        <v>20</v>
      </c>
      <c r="H202" s="185" t="s">
        <v>221</v>
      </c>
      <c r="I202" s="422">
        <v>14.4</v>
      </c>
      <c r="J202" s="2554">
        <v>12</v>
      </c>
      <c r="K202" s="2569" t="s">
        <v>1016</v>
      </c>
      <c r="L202" s="104"/>
      <c r="M202" s="760"/>
      <c r="O202" s="1613" t="s">
        <v>75</v>
      </c>
      <c r="P202" s="1724"/>
      <c r="Q202" s="1569"/>
      <c r="R202" s="1724"/>
      <c r="S202" s="1569"/>
      <c r="T202" s="1724"/>
      <c r="U202" s="1569"/>
      <c r="V202" s="1724">
        <f t="shared" si="101"/>
        <v>0</v>
      </c>
      <c r="W202" s="1586">
        <f t="shared" si="102"/>
        <v>0</v>
      </c>
      <c r="X202" s="1724">
        <f t="shared" si="103"/>
        <v>0</v>
      </c>
      <c r="Y202" s="1585">
        <f t="shared" si="104"/>
        <v>0</v>
      </c>
      <c r="AA202" s="2008" t="s">
        <v>166</v>
      </c>
      <c r="AB202" s="2051"/>
      <c r="AC202" s="1714"/>
      <c r="AD202" s="2053"/>
      <c r="AE202" s="2055">
        <f>G200+G201+J201+J202+M199</f>
        <v>112.4</v>
      </c>
      <c r="AF202" s="1778"/>
      <c r="AG202" s="2009"/>
      <c r="AH202" s="1788">
        <f t="shared" ref="AH202" si="113">AB202+AD202</f>
        <v>0</v>
      </c>
      <c r="AI202" s="2010"/>
      <c r="AJ202" s="1788">
        <f t="shared" ref="AJ202" si="114">AD202+AF202</f>
        <v>0</v>
      </c>
      <c r="AK202" s="2011"/>
      <c r="AM202" s="1944" t="s">
        <v>75</v>
      </c>
      <c r="AN202" s="847">
        <f>P202+R202+T202</f>
        <v>0</v>
      </c>
      <c r="AO202" s="858">
        <f t="shared" si="106"/>
        <v>0</v>
      </c>
      <c r="AP202" s="838" t="str">
        <f t="shared" si="98"/>
        <v xml:space="preserve">огурец солёный </v>
      </c>
      <c r="AQ202" s="1801">
        <f t="shared" si="99"/>
        <v>0</v>
      </c>
      <c r="AR202" s="856">
        <f t="shared" si="100"/>
        <v>0</v>
      </c>
    </row>
    <row r="203" spans="2:44" ht="18" customHeight="1" thickBot="1">
      <c r="B203" s="1184" t="s">
        <v>627</v>
      </c>
      <c r="C203" s="2570" t="s">
        <v>640</v>
      </c>
      <c r="D203" s="239">
        <v>30</v>
      </c>
      <c r="E203" s="249" t="s">
        <v>95</v>
      </c>
      <c r="F203" s="276">
        <v>5</v>
      </c>
      <c r="G203" s="257">
        <v>5</v>
      </c>
      <c r="H203" s="185" t="s">
        <v>103</v>
      </c>
      <c r="I203" s="256">
        <v>7.2</v>
      </c>
      <c r="J203" s="257">
        <v>7.2</v>
      </c>
      <c r="K203" s="313" t="s">
        <v>118</v>
      </c>
      <c r="L203" s="97" t="s">
        <v>119</v>
      </c>
      <c r="M203" s="135" t="s">
        <v>120</v>
      </c>
      <c r="N203" s="176"/>
      <c r="O203" s="1613" t="s">
        <v>910</v>
      </c>
      <c r="P203" s="1724">
        <f t="shared" ref="P203:U203" si="115">AB227</f>
        <v>5</v>
      </c>
      <c r="Q203" s="2021">
        <f t="shared" si="115"/>
        <v>5</v>
      </c>
      <c r="R203" s="1970">
        <f t="shared" si="115"/>
        <v>205</v>
      </c>
      <c r="S203" s="2021">
        <f t="shared" si="115"/>
        <v>205</v>
      </c>
      <c r="T203" s="1724">
        <f t="shared" si="115"/>
        <v>72.72</v>
      </c>
      <c r="U203" s="1586">
        <f t="shared" si="115"/>
        <v>72.72</v>
      </c>
      <c r="V203" s="1724">
        <f t="shared" si="101"/>
        <v>210</v>
      </c>
      <c r="W203" s="1586">
        <f t="shared" si="102"/>
        <v>210</v>
      </c>
      <c r="X203" s="1724">
        <f t="shared" si="103"/>
        <v>277.72000000000003</v>
      </c>
      <c r="Y203" s="1585">
        <f t="shared" si="104"/>
        <v>277.72000000000003</v>
      </c>
      <c r="AA203" s="1872" t="s">
        <v>878</v>
      </c>
      <c r="AB203" s="1781"/>
      <c r="AC203" s="1641"/>
      <c r="AD203" s="444"/>
      <c r="AE203" s="1585"/>
      <c r="AF203" s="444"/>
      <c r="AG203" s="1757"/>
      <c r="AH203" s="1789"/>
      <c r="AI203" s="1766"/>
      <c r="AJ203" s="1789"/>
      <c r="AK203" s="1645"/>
      <c r="AM203" s="1944" t="s">
        <v>68</v>
      </c>
      <c r="AN203" s="1776">
        <f>P203+R203+T203</f>
        <v>282.72000000000003</v>
      </c>
      <c r="AO203" s="858">
        <f t="shared" si="106"/>
        <v>282.72000000000003</v>
      </c>
      <c r="AP203" s="1987" t="str">
        <f t="shared" si="98"/>
        <v>перец сладкий</v>
      </c>
      <c r="AQ203" s="1802">
        <f t="shared" si="99"/>
        <v>0</v>
      </c>
      <c r="AR203" s="856">
        <f t="shared" si="100"/>
        <v>0</v>
      </c>
    </row>
    <row r="204" spans="2:44" ht="16.5" customHeight="1" thickBot="1">
      <c r="B204" s="246" t="s">
        <v>10</v>
      </c>
      <c r="C204" s="241" t="s">
        <v>11</v>
      </c>
      <c r="D204" s="285">
        <v>70</v>
      </c>
      <c r="E204" s="185" t="s">
        <v>61</v>
      </c>
      <c r="F204" s="272">
        <v>1.1000000000000001</v>
      </c>
      <c r="G204" s="273">
        <v>1.1000000000000001</v>
      </c>
      <c r="H204" s="389" t="s">
        <v>634</v>
      </c>
      <c r="I204" s="233"/>
      <c r="J204" s="742">
        <v>1</v>
      </c>
      <c r="K204" s="98" t="s">
        <v>434</v>
      </c>
      <c r="L204" s="128">
        <v>2.7</v>
      </c>
      <c r="M204" s="132">
        <v>2.7</v>
      </c>
      <c r="O204" s="1613" t="s">
        <v>170</v>
      </c>
      <c r="P204" s="1724"/>
      <c r="Q204" s="1569"/>
      <c r="R204" s="1724"/>
      <c r="S204" s="1569"/>
      <c r="T204" s="1724"/>
      <c r="U204" s="1569"/>
      <c r="V204" s="1724">
        <f t="shared" si="101"/>
        <v>0</v>
      </c>
      <c r="W204" s="1586">
        <f t="shared" si="102"/>
        <v>0</v>
      </c>
      <c r="X204" s="1724">
        <f t="shared" si="103"/>
        <v>0</v>
      </c>
      <c r="Y204" s="1585">
        <f t="shared" si="104"/>
        <v>0</v>
      </c>
      <c r="AA204" s="1873" t="s">
        <v>879</v>
      </c>
      <c r="AB204" s="1777">
        <f>I195</f>
        <v>147.55000000000001</v>
      </c>
      <c r="AC204" s="1878">
        <f>J195</f>
        <v>130</v>
      </c>
      <c r="AD204" s="1680"/>
      <c r="AE204" s="1882"/>
      <c r="AF204" s="1789"/>
      <c r="AG204" s="1886">
        <f>M223</f>
        <v>0</v>
      </c>
      <c r="AH204" s="1789">
        <f t="shared" ref="AH204:AH208" si="116">AB204+AD204</f>
        <v>147.55000000000001</v>
      </c>
      <c r="AI204" s="1890">
        <f>AC204+AE204</f>
        <v>130</v>
      </c>
      <c r="AJ204" s="1789">
        <f t="shared" ref="AJ204:AJ208" si="117">AD204+AF204</f>
        <v>0</v>
      </c>
      <c r="AK204" s="1893">
        <f>AE204+AG204</f>
        <v>0</v>
      </c>
      <c r="AM204" s="1944" t="s">
        <v>170</v>
      </c>
      <c r="AN204" s="847">
        <f t="shared" ref="AN204:AN223" si="118">P204+R204+T204</f>
        <v>0</v>
      </c>
      <c r="AO204" s="857">
        <f t="shared" si="106"/>
        <v>0</v>
      </c>
      <c r="AP204" s="1990" t="str">
        <f t="shared" si="98"/>
        <v>итого овощ</v>
      </c>
      <c r="AQ204" s="1803">
        <f t="shared" si="99"/>
        <v>198.07</v>
      </c>
      <c r="AR204" s="856">
        <f t="shared" si="100"/>
        <v>161.12</v>
      </c>
    </row>
    <row r="205" spans="2:44" ht="13.5" customHeight="1">
      <c r="B205" s="246" t="s">
        <v>10</v>
      </c>
      <c r="C205" s="241" t="s">
        <v>792</v>
      </c>
      <c r="D205" s="239">
        <v>50</v>
      </c>
      <c r="E205" s="185" t="s">
        <v>222</v>
      </c>
      <c r="F205" s="233">
        <v>0.01</v>
      </c>
      <c r="G205" s="257">
        <v>0.01</v>
      </c>
      <c r="H205" s="270" t="s">
        <v>222</v>
      </c>
      <c r="I205" s="1207">
        <v>1.9E-2</v>
      </c>
      <c r="J205" s="2555">
        <v>1.9E-2</v>
      </c>
      <c r="K205" s="186" t="s">
        <v>68</v>
      </c>
      <c r="L205" s="233">
        <v>205</v>
      </c>
      <c r="M205" s="235">
        <v>205</v>
      </c>
      <c r="O205" s="1613" t="s">
        <v>73</v>
      </c>
      <c r="P205" s="1724">
        <f>F189</f>
        <v>183.3</v>
      </c>
      <c r="Q205" s="1587">
        <f>G189</f>
        <v>180</v>
      </c>
      <c r="R205" s="1724"/>
      <c r="S205" s="1587"/>
      <c r="T205" s="1727">
        <f>F213</f>
        <v>62.22</v>
      </c>
      <c r="U205" s="1629">
        <f>G213</f>
        <v>60</v>
      </c>
      <c r="V205" s="1724">
        <f t="shared" si="101"/>
        <v>183.3</v>
      </c>
      <c r="W205" s="1586">
        <f t="shared" si="102"/>
        <v>180</v>
      </c>
      <c r="X205" s="1724">
        <f t="shared" si="103"/>
        <v>62.22</v>
      </c>
      <c r="Y205" s="1585">
        <f t="shared" si="104"/>
        <v>60</v>
      </c>
      <c r="AA205" s="1874" t="s">
        <v>880</v>
      </c>
      <c r="AB205" s="1782"/>
      <c r="AC205" s="1879"/>
      <c r="AD205" s="444"/>
      <c r="AE205" s="1883"/>
      <c r="AF205" s="1793"/>
      <c r="AG205" s="1887"/>
      <c r="AH205" s="1789">
        <f t="shared" si="116"/>
        <v>0</v>
      </c>
      <c r="AI205" s="1890">
        <f>AC205+AE205</f>
        <v>0</v>
      </c>
      <c r="AJ205" s="1789">
        <f t="shared" si="117"/>
        <v>0</v>
      </c>
      <c r="AK205" s="1893">
        <f>AE205+AG205</f>
        <v>0</v>
      </c>
      <c r="AM205" s="1944" t="s">
        <v>73</v>
      </c>
      <c r="AN205" s="847">
        <f t="shared" si="118"/>
        <v>245.52</v>
      </c>
      <c r="AO205" s="857">
        <f t="shared" si="106"/>
        <v>240</v>
      </c>
      <c r="AP205" s="1989" t="str">
        <f t="shared" si="98"/>
        <v>всего овощей</v>
      </c>
      <c r="AQ205" s="1800">
        <f>AB202+AD202+AF202</f>
        <v>0</v>
      </c>
      <c r="AR205" s="839"/>
    </row>
    <row r="206" spans="2:44" ht="15" customHeight="1" thickBot="1">
      <c r="B206" s="61"/>
      <c r="C206" s="999"/>
      <c r="D206" s="71"/>
      <c r="E206" s="1073" t="s">
        <v>975</v>
      </c>
      <c r="F206" s="233">
        <v>175</v>
      </c>
      <c r="G206" s="257"/>
      <c r="K206" s="185" t="s">
        <v>57</v>
      </c>
      <c r="L206" s="233">
        <v>19.5</v>
      </c>
      <c r="M206" s="247">
        <v>19.5</v>
      </c>
      <c r="O206" s="1613" t="s">
        <v>54</v>
      </c>
      <c r="P206" s="1724"/>
      <c r="Q206" s="1587"/>
      <c r="R206" s="1966">
        <f>I210</f>
        <v>31.2</v>
      </c>
      <c r="S206" s="1587">
        <f>J210</f>
        <v>30</v>
      </c>
      <c r="T206" s="1724"/>
      <c r="U206" s="1587"/>
      <c r="V206" s="1724">
        <f t="shared" si="101"/>
        <v>31.2</v>
      </c>
      <c r="W206" s="1586">
        <f t="shared" si="102"/>
        <v>30</v>
      </c>
      <c r="X206" s="1724">
        <f t="shared" si="103"/>
        <v>31.2</v>
      </c>
      <c r="Y206" s="1585">
        <f t="shared" si="104"/>
        <v>30</v>
      </c>
      <c r="AA206" s="1875" t="s">
        <v>881</v>
      </c>
      <c r="AB206" s="1782"/>
      <c r="AC206" s="1879"/>
      <c r="AD206" s="444"/>
      <c r="AE206" s="1883"/>
      <c r="AF206" s="1789"/>
      <c r="AG206" s="1887"/>
      <c r="AH206" s="1789">
        <f t="shared" si="116"/>
        <v>0</v>
      </c>
      <c r="AI206" s="1890">
        <f>AC206+AE206</f>
        <v>0</v>
      </c>
      <c r="AJ206" s="1789">
        <f t="shared" si="117"/>
        <v>0</v>
      </c>
      <c r="AK206" s="1893">
        <f>AE206+AG206</f>
        <v>0</v>
      </c>
      <c r="AM206" s="1944" t="s">
        <v>54</v>
      </c>
      <c r="AN206" s="847">
        <f t="shared" si="118"/>
        <v>31.2</v>
      </c>
      <c r="AO206" s="857">
        <f t="shared" si="106"/>
        <v>30</v>
      </c>
      <c r="AP206" s="1659" t="s">
        <v>878</v>
      </c>
      <c r="AQ206" s="1830"/>
      <c r="AR206" s="71"/>
    </row>
    <row r="207" spans="2:44" ht="15" customHeight="1" thickBot="1">
      <c r="B207" s="61"/>
      <c r="C207" s="999"/>
      <c r="D207" s="71"/>
      <c r="E207" s="249" t="s">
        <v>99</v>
      </c>
      <c r="F207" s="251">
        <v>2.9449999999999998</v>
      </c>
      <c r="G207" s="323">
        <v>2.5</v>
      </c>
      <c r="H207" s="1185" t="s">
        <v>628</v>
      </c>
      <c r="I207" s="68"/>
      <c r="J207" s="68"/>
      <c r="K207" s="185" t="s">
        <v>94</v>
      </c>
      <c r="L207" s="903">
        <v>5</v>
      </c>
      <c r="M207" s="904">
        <v>5</v>
      </c>
      <c r="O207" s="1613" t="s">
        <v>78</v>
      </c>
      <c r="P207" s="1966">
        <f>I189</f>
        <v>7.8</v>
      </c>
      <c r="Q207" s="1630">
        <f>J189</f>
        <v>7.8</v>
      </c>
      <c r="R207" s="1724"/>
      <c r="S207" s="1587"/>
      <c r="T207" s="1724">
        <f>I216</f>
        <v>6.2</v>
      </c>
      <c r="U207" s="1587">
        <f>J216</f>
        <v>6.2</v>
      </c>
      <c r="V207" s="1724">
        <f t="shared" si="101"/>
        <v>7.8</v>
      </c>
      <c r="W207" s="1586">
        <f t="shared" si="102"/>
        <v>7.8</v>
      </c>
      <c r="X207" s="1724">
        <f t="shared" si="103"/>
        <v>6.2</v>
      </c>
      <c r="Y207" s="1585">
        <f t="shared" si="104"/>
        <v>6.2</v>
      </c>
      <c r="AA207" s="1876" t="s">
        <v>882</v>
      </c>
      <c r="AB207" s="1783"/>
      <c r="AC207" s="1880"/>
      <c r="AD207" s="1779"/>
      <c r="AE207" s="1884"/>
      <c r="AF207" s="1790"/>
      <c r="AG207" s="1888"/>
      <c r="AH207" s="1790">
        <f t="shared" si="116"/>
        <v>0</v>
      </c>
      <c r="AI207" s="1891"/>
      <c r="AJ207" s="1812">
        <f t="shared" si="117"/>
        <v>0</v>
      </c>
      <c r="AK207" s="2046"/>
      <c r="AM207" s="1944" t="s">
        <v>78</v>
      </c>
      <c r="AN207" s="847">
        <f t="shared" si="118"/>
        <v>14</v>
      </c>
      <c r="AO207" s="857">
        <f t="shared" si="106"/>
        <v>14</v>
      </c>
      <c r="AP207" s="1660" t="s">
        <v>879</v>
      </c>
      <c r="AQ207" s="1840">
        <f t="shared" ref="AQ207:AQ227" si="119">AB204+AD204+AF204</f>
        <v>147.55000000000001</v>
      </c>
      <c r="AR207" s="1667">
        <f t="shared" ref="AR207:AR227" si="120">AC204+AE204+AG204</f>
        <v>130</v>
      </c>
    </row>
    <row r="208" spans="2:44" ht="14.25" customHeight="1" thickBot="1">
      <c r="B208" s="61"/>
      <c r="C208" s="999"/>
      <c r="D208" s="71"/>
      <c r="E208" s="513"/>
      <c r="F208" s="184"/>
      <c r="G208" s="165"/>
      <c r="H208" s="879" t="s">
        <v>629</v>
      </c>
      <c r="I208" s="29"/>
      <c r="J208" s="29"/>
      <c r="K208" s="61"/>
      <c r="M208" s="71"/>
      <c r="O208" s="1613" t="s">
        <v>95</v>
      </c>
      <c r="P208" s="1966">
        <f>F193+L196</f>
        <v>17.8</v>
      </c>
      <c r="Q208" s="1586">
        <f>G193+M196</f>
        <v>17.8</v>
      </c>
      <c r="R208" s="1724">
        <f>F203</f>
        <v>5</v>
      </c>
      <c r="S208" s="1586">
        <f>G203</f>
        <v>5</v>
      </c>
      <c r="T208" s="1724">
        <f>I214</f>
        <v>6.2</v>
      </c>
      <c r="U208" s="1586">
        <f>J214</f>
        <v>6.2</v>
      </c>
      <c r="V208" s="1724">
        <f t="shared" si="101"/>
        <v>22.8</v>
      </c>
      <c r="W208" s="1586">
        <f t="shared" si="102"/>
        <v>22.8</v>
      </c>
      <c r="X208" s="1724">
        <f t="shared" si="103"/>
        <v>11.2</v>
      </c>
      <c r="Y208" s="1585">
        <f t="shared" si="104"/>
        <v>11.2</v>
      </c>
      <c r="AA208" s="1877" t="s">
        <v>883</v>
      </c>
      <c r="AB208" s="1896">
        <f>SUM(AB204:AB207)</f>
        <v>147.55000000000001</v>
      </c>
      <c r="AC208" s="1881">
        <f>AC204+AC205+AC206+AC207</f>
        <v>130</v>
      </c>
      <c r="AD208" s="1968">
        <f>AD204+AD205+AD206+AD207</f>
        <v>0</v>
      </c>
      <c r="AE208" s="1885">
        <f>AE204+AE205+AE206+AE207</f>
        <v>0</v>
      </c>
      <c r="AF208" s="1898">
        <f>SUM(AF204:AF207)</f>
        <v>0</v>
      </c>
      <c r="AG208" s="1889">
        <f>SUM(AG204:AG207)</f>
        <v>0</v>
      </c>
      <c r="AH208" s="1898">
        <f t="shared" si="116"/>
        <v>147.55000000000001</v>
      </c>
      <c r="AI208" s="1892">
        <f>AC208+AE208</f>
        <v>130</v>
      </c>
      <c r="AJ208" s="1898">
        <f t="shared" si="117"/>
        <v>0</v>
      </c>
      <c r="AK208" s="1895">
        <f>AE208+AG208</f>
        <v>0</v>
      </c>
      <c r="AM208" s="1944" t="s">
        <v>95</v>
      </c>
      <c r="AN208" s="847">
        <f t="shared" si="118"/>
        <v>29</v>
      </c>
      <c r="AO208" s="857">
        <f t="shared" si="106"/>
        <v>29</v>
      </c>
      <c r="AP208" s="1661" t="s">
        <v>880</v>
      </c>
      <c r="AQ208" s="1840">
        <f t="shared" si="119"/>
        <v>0</v>
      </c>
      <c r="AR208" s="1667">
        <f t="shared" si="120"/>
        <v>0</v>
      </c>
    </row>
    <row r="209" spans="2:47" ht="12.75" customHeight="1" thickBot="1">
      <c r="B209" s="61"/>
      <c r="C209" s="999"/>
      <c r="D209" s="71"/>
      <c r="E209" s="61"/>
      <c r="G209" s="71"/>
      <c r="H209" s="281" t="s">
        <v>118</v>
      </c>
      <c r="I209" s="97" t="s">
        <v>119</v>
      </c>
      <c r="J209" s="292" t="s">
        <v>120</v>
      </c>
      <c r="K209" s="61"/>
      <c r="M209" s="71"/>
      <c r="O209" s="1613" t="s">
        <v>103</v>
      </c>
      <c r="P209" s="1724"/>
      <c r="Q209" s="1569"/>
      <c r="R209" s="1724">
        <f>I203</f>
        <v>7.2</v>
      </c>
      <c r="S209" s="1569">
        <f>J203</f>
        <v>7.2</v>
      </c>
      <c r="T209" s="1724"/>
      <c r="U209" s="1569"/>
      <c r="V209" s="1724">
        <f t="shared" si="101"/>
        <v>7.2</v>
      </c>
      <c r="W209" s="1586">
        <f t="shared" si="102"/>
        <v>7.2</v>
      </c>
      <c r="X209" s="1724">
        <f t="shared" si="103"/>
        <v>7.2</v>
      </c>
      <c r="Y209" s="1585">
        <f t="shared" si="104"/>
        <v>7.2</v>
      </c>
      <c r="AA209" s="1702" t="s">
        <v>896</v>
      </c>
      <c r="AB209" s="1784"/>
      <c r="AC209" s="1703"/>
      <c r="AD209" s="1788">
        <f>F207</f>
        <v>2.9449999999999998</v>
      </c>
      <c r="AE209" s="1704">
        <f>G207</f>
        <v>2.5</v>
      </c>
      <c r="AF209" s="1784"/>
      <c r="AG209" s="1703"/>
      <c r="AH209" s="1788">
        <f t="shared" ref="AH209:AH215" si="121">AB209+AD209</f>
        <v>2.9449999999999998</v>
      </c>
      <c r="AI209" s="1769">
        <f>AC209+AE209</f>
        <v>2.5</v>
      </c>
      <c r="AJ209" s="1788">
        <f t="shared" ref="AJ209:AJ215" si="122">AD209+AF209</f>
        <v>2.9449999999999998</v>
      </c>
      <c r="AK209" s="1806">
        <f>AE209+AG209</f>
        <v>2.5</v>
      </c>
      <c r="AM209" s="1944" t="s">
        <v>103</v>
      </c>
      <c r="AN209" s="847">
        <f t="shared" si="118"/>
        <v>7.2</v>
      </c>
      <c r="AO209" s="857">
        <f t="shared" si="106"/>
        <v>7.2</v>
      </c>
      <c r="AP209" s="1662" t="s">
        <v>881</v>
      </c>
      <c r="AQ209" s="1840">
        <f t="shared" si="119"/>
        <v>0</v>
      </c>
      <c r="AR209" s="1667">
        <f t="shared" si="120"/>
        <v>0</v>
      </c>
    </row>
    <row r="210" spans="2:47" ht="14.25" customHeight="1" thickBot="1">
      <c r="B210" s="1139" t="s">
        <v>583</v>
      </c>
      <c r="C210" s="1197"/>
      <c r="D210" s="1137">
        <f>D198+D199+D201+D204+D205+45+150+D203</f>
        <v>855</v>
      </c>
      <c r="E210" s="61"/>
      <c r="G210" s="71"/>
      <c r="H210" s="1208" t="s">
        <v>641</v>
      </c>
      <c r="I210" s="251">
        <v>31.2</v>
      </c>
      <c r="J210" s="975">
        <v>30</v>
      </c>
      <c r="K210" s="57"/>
      <c r="L210" s="29"/>
      <c r="M210" s="74"/>
      <c r="O210" s="1613" t="s">
        <v>906</v>
      </c>
      <c r="P210" s="1979">
        <f>Q210/1000/0.04</f>
        <v>0.19499999999999998</v>
      </c>
      <c r="Q210" s="1586">
        <f>G192</f>
        <v>7.8</v>
      </c>
      <c r="R210" s="1724"/>
      <c r="S210" s="1586"/>
      <c r="T210" s="1979">
        <f>U210/1000/0.04</f>
        <v>0.156</v>
      </c>
      <c r="U210" s="1586">
        <f>J213</f>
        <v>6.24</v>
      </c>
      <c r="V210" s="1724">
        <f t="shared" si="101"/>
        <v>0.19499999999999998</v>
      </c>
      <c r="W210" s="1586">
        <f t="shared" si="102"/>
        <v>7.8</v>
      </c>
      <c r="X210" s="1724">
        <f t="shared" si="103"/>
        <v>0.156</v>
      </c>
      <c r="Y210" s="1585">
        <f t="shared" si="104"/>
        <v>6.24</v>
      </c>
      <c r="AA210" s="1692" t="s">
        <v>897</v>
      </c>
      <c r="AB210" s="1783"/>
      <c r="AC210" s="1693"/>
      <c r="AD210" s="1790">
        <f>I199</f>
        <v>96.39</v>
      </c>
      <c r="AE210" s="2061">
        <f>J199</f>
        <v>70.099999999999994</v>
      </c>
      <c r="AF210" s="1783"/>
      <c r="AG210" s="1693"/>
      <c r="AH210" s="1790">
        <f t="shared" si="121"/>
        <v>96.39</v>
      </c>
      <c r="AI210" s="1770">
        <f>AC210+AE210</f>
        <v>70.099999999999994</v>
      </c>
      <c r="AJ210" s="1790">
        <f t="shared" si="122"/>
        <v>96.39</v>
      </c>
      <c r="AK210" s="1807">
        <f>AE210+AG210</f>
        <v>70.099999999999994</v>
      </c>
      <c r="AM210" s="1944" t="s">
        <v>162</v>
      </c>
      <c r="AN210" s="847">
        <f t="shared" si="118"/>
        <v>0.35099999999999998</v>
      </c>
      <c r="AO210" s="857">
        <f t="shared" si="106"/>
        <v>14.04</v>
      </c>
      <c r="AP210" s="1707" t="s">
        <v>882</v>
      </c>
      <c r="AQ210" s="1840">
        <f t="shared" si="119"/>
        <v>0</v>
      </c>
      <c r="AR210" s="1667">
        <f t="shared" si="120"/>
        <v>0</v>
      </c>
    </row>
    <row r="211" spans="2:47" ht="15.75" customHeight="1" thickBot="1">
      <c r="B211" s="403"/>
      <c r="C211" s="162" t="s">
        <v>324</v>
      </c>
      <c r="D211" s="752"/>
      <c r="E211" s="473" t="s">
        <v>1023</v>
      </c>
      <c r="F211" s="880"/>
      <c r="G211" s="312"/>
      <c r="H211" s="312"/>
      <c r="I211" s="38"/>
      <c r="J211" s="50"/>
      <c r="K211" s="321" t="s">
        <v>642</v>
      </c>
      <c r="L211" s="38"/>
      <c r="M211" s="50"/>
      <c r="O211" s="1613" t="s">
        <v>57</v>
      </c>
      <c r="P211" s="2059">
        <f>F191+L191</f>
        <v>22</v>
      </c>
      <c r="Q211" s="1600">
        <f>G191+M191</f>
        <v>22</v>
      </c>
      <c r="R211" s="1724">
        <f>L206</f>
        <v>19.5</v>
      </c>
      <c r="S211" s="1600">
        <f>M206</f>
        <v>19.5</v>
      </c>
      <c r="T211" s="1724">
        <f>F215</f>
        <v>4.8</v>
      </c>
      <c r="U211" s="1600">
        <f>G215</f>
        <v>4.8</v>
      </c>
      <c r="V211" s="1724">
        <f t="shared" si="101"/>
        <v>41.5</v>
      </c>
      <c r="W211" s="1586">
        <f t="shared" si="102"/>
        <v>41.5</v>
      </c>
      <c r="X211" s="1724">
        <f t="shared" si="103"/>
        <v>24.3</v>
      </c>
      <c r="Y211" s="1585">
        <f t="shared" si="104"/>
        <v>24.3</v>
      </c>
      <c r="AA211" s="1721" t="s">
        <v>876</v>
      </c>
      <c r="AB211" s="1867">
        <f t="shared" ref="AB211:AG211" si="123">SUM(AB209:AB210)</f>
        <v>0</v>
      </c>
      <c r="AC211" s="2056">
        <f t="shared" si="123"/>
        <v>0</v>
      </c>
      <c r="AD211" s="1865">
        <f t="shared" si="123"/>
        <v>99.334999999999994</v>
      </c>
      <c r="AE211" s="1698">
        <f t="shared" si="123"/>
        <v>72.599999999999994</v>
      </c>
      <c r="AF211" s="1867">
        <f t="shared" si="123"/>
        <v>0</v>
      </c>
      <c r="AG211" s="1866">
        <f t="shared" si="123"/>
        <v>0</v>
      </c>
      <c r="AH211" s="1796">
        <f t="shared" si="121"/>
        <v>99.334999999999994</v>
      </c>
      <c r="AI211" s="1771">
        <f>AC211+AE211</f>
        <v>72.599999999999994</v>
      </c>
      <c r="AJ211" s="1796">
        <f t="shared" si="122"/>
        <v>99.334999999999994</v>
      </c>
      <c r="AK211" s="1699">
        <f>AE211+AG211</f>
        <v>72.599999999999994</v>
      </c>
      <c r="AM211" s="1944" t="s">
        <v>57</v>
      </c>
      <c r="AN211" s="847">
        <f t="shared" si="118"/>
        <v>46.3</v>
      </c>
      <c r="AO211" s="857">
        <f t="shared" si="106"/>
        <v>46.3</v>
      </c>
      <c r="AP211" s="1719" t="s">
        <v>883</v>
      </c>
      <c r="AQ211" s="1998">
        <f t="shared" si="119"/>
        <v>147.55000000000001</v>
      </c>
      <c r="AR211" s="1818">
        <f t="shared" si="120"/>
        <v>130</v>
      </c>
    </row>
    <row r="212" spans="2:47" ht="12.75" customHeight="1" thickBot="1">
      <c r="B212" s="156" t="s">
        <v>490</v>
      </c>
      <c r="C212" s="283" t="s">
        <v>643</v>
      </c>
      <c r="D212" s="429">
        <v>200</v>
      </c>
      <c r="E212" s="471" t="s">
        <v>118</v>
      </c>
      <c r="F212" s="103" t="s">
        <v>119</v>
      </c>
      <c r="G212" s="318" t="s">
        <v>120</v>
      </c>
      <c r="H212" s="339" t="s">
        <v>118</v>
      </c>
      <c r="I212" s="103" t="s">
        <v>119</v>
      </c>
      <c r="J212" s="136" t="s">
        <v>120</v>
      </c>
      <c r="K212" s="339" t="s">
        <v>118</v>
      </c>
      <c r="L212" s="102" t="s">
        <v>119</v>
      </c>
      <c r="M212" s="133" t="s">
        <v>120</v>
      </c>
      <c r="O212" s="1613" t="s">
        <v>171</v>
      </c>
      <c r="P212" s="1724"/>
      <c r="Q212" s="1569"/>
      <c r="R212" s="1724"/>
      <c r="S212" s="1569"/>
      <c r="T212" s="1724"/>
      <c r="U212" s="1569"/>
      <c r="V212" s="1724">
        <f t="shared" si="101"/>
        <v>0</v>
      </c>
      <c r="W212" s="1586">
        <f t="shared" si="102"/>
        <v>0</v>
      </c>
      <c r="X212" s="1724">
        <f t="shared" si="103"/>
        <v>0</v>
      </c>
      <c r="Y212" s="1585">
        <f t="shared" si="104"/>
        <v>0</v>
      </c>
      <c r="AA212" s="1843" t="s">
        <v>387</v>
      </c>
      <c r="AB212" s="1900"/>
      <c r="AC212" s="1901"/>
      <c r="AD212" s="1899"/>
      <c r="AE212" s="1846"/>
      <c r="AF212" s="1900"/>
      <c r="AG212" s="1901"/>
      <c r="AH212" s="1788">
        <f t="shared" si="121"/>
        <v>0</v>
      </c>
      <c r="AI212" s="1852"/>
      <c r="AJ212" s="1788">
        <f t="shared" si="122"/>
        <v>0</v>
      </c>
      <c r="AK212" s="1856"/>
      <c r="AM212" s="1944" t="s">
        <v>171</v>
      </c>
      <c r="AN212" s="847">
        <f t="shared" si="118"/>
        <v>0</v>
      </c>
      <c r="AO212" s="857">
        <f t="shared" si="106"/>
        <v>0</v>
      </c>
      <c r="AP212" s="1702" t="s">
        <v>389</v>
      </c>
      <c r="AQ212" s="1840">
        <f t="shared" si="119"/>
        <v>2.9449999999999998</v>
      </c>
      <c r="AR212" s="1667">
        <f t="shared" si="120"/>
        <v>2.5</v>
      </c>
    </row>
    <row r="213" spans="2:47" ht="15" customHeight="1" thickBot="1">
      <c r="B213" s="1526" t="s">
        <v>826</v>
      </c>
      <c r="C213" s="1201"/>
      <c r="D213" s="341"/>
      <c r="E213" s="100" t="s">
        <v>106</v>
      </c>
      <c r="F213" s="744">
        <v>62.22</v>
      </c>
      <c r="G213" s="2549">
        <v>60</v>
      </c>
      <c r="H213" s="216" t="s">
        <v>225</v>
      </c>
      <c r="I213" s="123">
        <v>0.156</v>
      </c>
      <c r="J213" s="416">
        <v>6.24</v>
      </c>
      <c r="K213" s="100" t="s">
        <v>107</v>
      </c>
      <c r="L213" s="123">
        <v>1</v>
      </c>
      <c r="M213" s="131">
        <v>1</v>
      </c>
      <c r="O213" s="1613" t="s">
        <v>59</v>
      </c>
      <c r="P213" s="1724">
        <f>L189</f>
        <v>1</v>
      </c>
      <c r="Q213" s="1569">
        <f>M189</f>
        <v>1</v>
      </c>
      <c r="R213" s="1724"/>
      <c r="S213" s="1569"/>
      <c r="T213" s="1724">
        <f>L213</f>
        <v>1</v>
      </c>
      <c r="U213" s="1569">
        <f>M213</f>
        <v>1</v>
      </c>
      <c r="V213" s="1724">
        <f t="shared" si="101"/>
        <v>1</v>
      </c>
      <c r="W213" s="1586">
        <f t="shared" si="102"/>
        <v>1</v>
      </c>
      <c r="X213" s="1724">
        <f t="shared" si="103"/>
        <v>1</v>
      </c>
      <c r="Y213" s="1585">
        <f t="shared" si="104"/>
        <v>1</v>
      </c>
      <c r="AA213" s="1844" t="s">
        <v>121</v>
      </c>
      <c r="AB213" s="1902"/>
      <c r="AC213" s="1848"/>
      <c r="AD213" s="1965"/>
      <c r="AE213" s="1904"/>
      <c r="AF213" s="1902"/>
      <c r="AG213" s="1848"/>
      <c r="AH213" s="1789">
        <f t="shared" si="121"/>
        <v>0</v>
      </c>
      <c r="AI213" s="1853">
        <f>AC213+AE213</f>
        <v>0</v>
      </c>
      <c r="AJ213" s="1789">
        <f t="shared" si="122"/>
        <v>0</v>
      </c>
      <c r="AK213" s="1857">
        <f t="shared" ref="AK213:AK227" si="124">AE213+AG213</f>
        <v>0</v>
      </c>
      <c r="AM213" s="1944" t="s">
        <v>59</v>
      </c>
      <c r="AN213" s="847">
        <f t="shared" si="118"/>
        <v>2</v>
      </c>
      <c r="AO213" s="857">
        <f t="shared" si="106"/>
        <v>2</v>
      </c>
      <c r="AP213" s="1692" t="s">
        <v>188</v>
      </c>
      <c r="AQ213" s="1840">
        <f t="shared" si="119"/>
        <v>96.39</v>
      </c>
      <c r="AR213" s="1667">
        <f t="shared" si="120"/>
        <v>70.099999999999994</v>
      </c>
    </row>
    <row r="214" spans="2:47" ht="15" customHeight="1" thickBot="1">
      <c r="B214" s="407" t="s">
        <v>450</v>
      </c>
      <c r="C214" s="283" t="s">
        <v>502</v>
      </c>
      <c r="D214" s="44" t="s">
        <v>534</v>
      </c>
      <c r="E214" s="249" t="s">
        <v>451</v>
      </c>
      <c r="F214" s="233">
        <v>10.8</v>
      </c>
      <c r="G214" s="411">
        <v>10.8</v>
      </c>
      <c r="H214" s="241" t="s">
        <v>95</v>
      </c>
      <c r="I214" s="233">
        <v>6.2</v>
      </c>
      <c r="J214" s="193">
        <v>6.2</v>
      </c>
      <c r="K214" s="249" t="s">
        <v>94</v>
      </c>
      <c r="L214" s="251">
        <v>66</v>
      </c>
      <c r="M214" s="255">
        <v>66</v>
      </c>
      <c r="O214" s="1613" t="s">
        <v>169</v>
      </c>
      <c r="P214" s="1724"/>
      <c r="Q214" s="1569"/>
      <c r="R214" s="1724">
        <f>L204</f>
        <v>2.7</v>
      </c>
      <c r="S214" s="1569">
        <f>M204</f>
        <v>2.7</v>
      </c>
      <c r="T214" s="1724"/>
      <c r="U214" s="1569"/>
      <c r="V214" s="1724">
        <f t="shared" si="101"/>
        <v>2.7</v>
      </c>
      <c r="W214" s="1586">
        <f t="shared" si="102"/>
        <v>2.7</v>
      </c>
      <c r="X214" s="1724">
        <f t="shared" si="103"/>
        <v>2.7</v>
      </c>
      <c r="Y214" s="1585">
        <f t="shared" si="104"/>
        <v>2.7</v>
      </c>
      <c r="AA214" s="1845" t="s">
        <v>388</v>
      </c>
      <c r="AB214" s="1903"/>
      <c r="AC214" s="1868"/>
      <c r="AD214" s="1870"/>
      <c r="AE214" s="1905"/>
      <c r="AF214" s="1903"/>
      <c r="AG214" s="1868"/>
      <c r="AH214" s="1790">
        <f t="shared" si="121"/>
        <v>0</v>
      </c>
      <c r="AI214" s="1854">
        <f>AC214+AE214</f>
        <v>0</v>
      </c>
      <c r="AJ214" s="1790">
        <f t="shared" si="122"/>
        <v>0</v>
      </c>
      <c r="AK214" s="1858">
        <f t="shared" si="124"/>
        <v>0</v>
      </c>
      <c r="AM214" s="1944" t="s">
        <v>169</v>
      </c>
      <c r="AN214" s="847">
        <f t="shared" si="118"/>
        <v>2.7</v>
      </c>
      <c r="AO214" s="857">
        <f t="shared" si="106"/>
        <v>2.7</v>
      </c>
      <c r="AP214" s="1721" t="s">
        <v>876</v>
      </c>
      <c r="AQ214" s="1997">
        <f t="shared" si="119"/>
        <v>99.334999999999994</v>
      </c>
      <c r="AR214" s="1669">
        <f t="shared" si="120"/>
        <v>72.599999999999994</v>
      </c>
    </row>
    <row r="215" spans="2:47" ht="12.75" customHeight="1" thickBot="1">
      <c r="B215" s="61"/>
      <c r="C215" s="756" t="s">
        <v>588</v>
      </c>
      <c r="E215" s="249" t="s">
        <v>57</v>
      </c>
      <c r="F215" s="233">
        <v>4.8</v>
      </c>
      <c r="G215" s="411">
        <v>4.8</v>
      </c>
      <c r="H215" s="241" t="s">
        <v>452</v>
      </c>
      <c r="I215" s="233">
        <v>6.3</v>
      </c>
      <c r="J215" s="193">
        <v>6.3</v>
      </c>
      <c r="K215" s="185" t="s">
        <v>94</v>
      </c>
      <c r="L215" s="233">
        <v>150</v>
      </c>
      <c r="M215" s="235">
        <v>150</v>
      </c>
      <c r="O215" s="1613" t="s">
        <v>168</v>
      </c>
      <c r="P215" s="1724"/>
      <c r="Q215" s="1569"/>
      <c r="R215" s="1724"/>
      <c r="S215" s="1569"/>
      <c r="T215" s="1724"/>
      <c r="U215" s="1569"/>
      <c r="V215" s="1724">
        <f t="shared" si="101"/>
        <v>0</v>
      </c>
      <c r="W215" s="1586">
        <f t="shared" si="102"/>
        <v>0</v>
      </c>
      <c r="X215" s="1724">
        <f t="shared" si="103"/>
        <v>0</v>
      </c>
      <c r="Y215" s="1585">
        <f t="shared" si="104"/>
        <v>0</v>
      </c>
      <c r="AA215" s="1850" t="s">
        <v>875</v>
      </c>
      <c r="AB215" s="1871">
        <f t="shared" ref="AB215:AG215" si="125">AB212+AB213+AB214</f>
        <v>0</v>
      </c>
      <c r="AC215" s="1851">
        <f t="shared" si="125"/>
        <v>0</v>
      </c>
      <c r="AD215" s="1871">
        <f t="shared" si="125"/>
        <v>0</v>
      </c>
      <c r="AE215" s="1851">
        <f t="shared" si="125"/>
        <v>0</v>
      </c>
      <c r="AF215" s="1871">
        <f t="shared" si="125"/>
        <v>0</v>
      </c>
      <c r="AG215" s="1851">
        <f t="shared" si="125"/>
        <v>0</v>
      </c>
      <c r="AH215" s="1791">
        <f t="shared" si="121"/>
        <v>0</v>
      </c>
      <c r="AI215" s="1855">
        <f>AC215+AE215</f>
        <v>0</v>
      </c>
      <c r="AJ215" s="1791">
        <f t="shared" si="122"/>
        <v>0</v>
      </c>
      <c r="AK215" s="1859">
        <f t="shared" si="124"/>
        <v>0</v>
      </c>
      <c r="AM215" s="1944" t="s">
        <v>168</v>
      </c>
      <c r="AN215" s="847">
        <f t="shared" si="118"/>
        <v>0</v>
      </c>
      <c r="AO215" s="857">
        <f t="shared" si="106"/>
        <v>0</v>
      </c>
      <c r="AP215" s="1843" t="s">
        <v>387</v>
      </c>
      <c r="AQ215" s="1840">
        <f t="shared" si="119"/>
        <v>0</v>
      </c>
      <c r="AR215" s="1667">
        <f t="shared" si="120"/>
        <v>0</v>
      </c>
    </row>
    <row r="216" spans="2:47" ht="12.75" customHeight="1">
      <c r="B216" s="61"/>
      <c r="C216" s="756" t="s">
        <v>589</v>
      </c>
      <c r="E216" s="185" t="s">
        <v>79</v>
      </c>
      <c r="F216" s="233">
        <v>64.97</v>
      </c>
      <c r="G216" s="411">
        <v>48.72</v>
      </c>
      <c r="H216" s="241" t="s">
        <v>108</v>
      </c>
      <c r="I216" s="233">
        <v>6.2</v>
      </c>
      <c r="J216" s="193">
        <v>6.2</v>
      </c>
      <c r="K216" s="61"/>
      <c r="M216" s="71"/>
      <c r="O216" s="1613" t="s">
        <v>89</v>
      </c>
      <c r="P216" s="1724"/>
      <c r="Q216" s="1569"/>
      <c r="R216" s="1724"/>
      <c r="S216" s="1569"/>
      <c r="T216" s="1724"/>
      <c r="U216" s="1569"/>
      <c r="V216" s="1724">
        <f t="shared" si="101"/>
        <v>0</v>
      </c>
      <c r="W216" s="1586">
        <f t="shared" si="102"/>
        <v>0</v>
      </c>
      <c r="X216" s="1724">
        <f t="shared" si="103"/>
        <v>0</v>
      </c>
      <c r="Y216" s="1585">
        <f t="shared" si="104"/>
        <v>0</v>
      </c>
      <c r="AA216" s="1695" t="s">
        <v>208</v>
      </c>
      <c r="AB216" s="1784"/>
      <c r="AC216" s="1696"/>
      <c r="AD216" s="1784"/>
      <c r="AE216" s="1697"/>
      <c r="AF216" s="1784"/>
      <c r="AG216" s="1758"/>
      <c r="AH216" s="1788">
        <f t="shared" ref="AH216:AH223" si="126">AB216+AD216</f>
        <v>0</v>
      </c>
      <c r="AI216" s="1772">
        <f>AC216+AE216</f>
        <v>0</v>
      </c>
      <c r="AJ216" s="1788">
        <f t="shared" ref="AJ216:AJ223" si="127">AD216+AF216</f>
        <v>0</v>
      </c>
      <c r="AK216" s="1603">
        <f t="shared" si="124"/>
        <v>0</v>
      </c>
      <c r="AM216" s="1944" t="s">
        <v>89</v>
      </c>
      <c r="AN216" s="847">
        <f t="shared" si="118"/>
        <v>0</v>
      </c>
      <c r="AO216" s="857">
        <f t="shared" si="106"/>
        <v>0</v>
      </c>
      <c r="AP216" s="1844" t="s">
        <v>121</v>
      </c>
      <c r="AQ216" s="1840">
        <f t="shared" si="119"/>
        <v>0</v>
      </c>
      <c r="AR216" s="1667">
        <f t="shared" si="120"/>
        <v>0</v>
      </c>
    </row>
    <row r="217" spans="2:47" ht="12" customHeight="1" thickBot="1">
      <c r="B217" s="1139" t="s">
        <v>584</v>
      </c>
      <c r="C217" s="1136"/>
      <c r="D217" s="1137">
        <f>D212+156+24</f>
        <v>380</v>
      </c>
      <c r="E217" s="982" t="s">
        <v>93</v>
      </c>
      <c r="F217" s="277">
        <v>48.72</v>
      </c>
      <c r="G217" s="978">
        <v>48.72</v>
      </c>
      <c r="H217" s="188" t="s">
        <v>401</v>
      </c>
      <c r="I217" s="200">
        <v>24</v>
      </c>
      <c r="J217" s="327">
        <v>24</v>
      </c>
      <c r="K217" s="647"/>
      <c r="L217" s="1209"/>
      <c r="M217" s="1210"/>
      <c r="O217" s="1613" t="s">
        <v>61</v>
      </c>
      <c r="P217" s="1724"/>
      <c r="Q217" s="1569"/>
      <c r="R217" s="1724">
        <f>F204</f>
        <v>1.1000000000000001</v>
      </c>
      <c r="S217" s="1569">
        <f>G204</f>
        <v>1.1000000000000001</v>
      </c>
      <c r="T217" s="1727"/>
      <c r="U217" s="1569"/>
      <c r="V217" s="1724">
        <f>P217+R217</f>
        <v>1.1000000000000001</v>
      </c>
      <c r="W217" s="1586">
        <f t="shared" si="102"/>
        <v>1.1000000000000001</v>
      </c>
      <c r="X217" s="1724">
        <f t="shared" si="103"/>
        <v>1.1000000000000001</v>
      </c>
      <c r="Y217" s="1585">
        <f t="shared" si="104"/>
        <v>1.1000000000000001</v>
      </c>
      <c r="AA217" s="1663" t="s">
        <v>81</v>
      </c>
      <c r="AB217" s="1782"/>
      <c r="AC217" s="1599"/>
      <c r="AD217" s="1782">
        <f>F202</f>
        <v>20</v>
      </c>
      <c r="AE217" s="1670">
        <f>G202</f>
        <v>20</v>
      </c>
      <c r="AF217" s="1782"/>
      <c r="AG217" s="1682"/>
      <c r="AH217" s="1789">
        <f t="shared" si="126"/>
        <v>20</v>
      </c>
      <c r="AI217" s="1772">
        <f t="shared" ref="AI217:AI223" si="128">AC217+AE217</f>
        <v>20</v>
      </c>
      <c r="AJ217" s="1789">
        <f t="shared" si="127"/>
        <v>20</v>
      </c>
      <c r="AK217" s="1645">
        <f t="shared" si="124"/>
        <v>20</v>
      </c>
      <c r="AM217" s="1944" t="s">
        <v>61</v>
      </c>
      <c r="AN217" s="847">
        <f t="shared" si="118"/>
        <v>1.1000000000000001</v>
      </c>
      <c r="AO217" s="857">
        <f t="shared" si="106"/>
        <v>1.1000000000000001</v>
      </c>
      <c r="AP217" s="1845" t="s">
        <v>388</v>
      </c>
      <c r="AQ217" s="1840">
        <f t="shared" si="119"/>
        <v>0</v>
      </c>
      <c r="AR217" s="1667">
        <f t="shared" si="120"/>
        <v>0</v>
      </c>
      <c r="AS217" s="66"/>
    </row>
    <row r="218" spans="2:47" ht="12.75" customHeight="1" thickBot="1">
      <c r="O218" s="1613" t="s">
        <v>143</v>
      </c>
      <c r="P218" s="1724"/>
      <c r="Q218" s="1569"/>
      <c r="R218" s="1724"/>
      <c r="S218" s="1569"/>
      <c r="T218" s="1724"/>
      <c r="U218" s="1569"/>
      <c r="V218" s="1724">
        <f t="shared" si="101"/>
        <v>0</v>
      </c>
      <c r="W218" s="1586">
        <f t="shared" si="102"/>
        <v>0</v>
      </c>
      <c r="X218" s="1724">
        <f t="shared" si="103"/>
        <v>0</v>
      </c>
      <c r="Y218" s="1585">
        <f t="shared" si="104"/>
        <v>0</v>
      </c>
      <c r="AA218" s="1663" t="s">
        <v>83</v>
      </c>
      <c r="AB218" s="1785"/>
      <c r="AC218" s="1639"/>
      <c r="AD218" s="1785"/>
      <c r="AE218" s="1671"/>
      <c r="AF218" s="1785">
        <f>F214</f>
        <v>10.8</v>
      </c>
      <c r="AG218" s="1759">
        <f>G214</f>
        <v>10.8</v>
      </c>
      <c r="AH218" s="1789">
        <f t="shared" si="126"/>
        <v>0</v>
      </c>
      <c r="AI218" s="1772">
        <f t="shared" si="128"/>
        <v>0</v>
      </c>
      <c r="AJ218" s="1789">
        <f t="shared" si="127"/>
        <v>10.8</v>
      </c>
      <c r="AK218" s="1645">
        <f t="shared" si="124"/>
        <v>10.8</v>
      </c>
      <c r="AM218" s="1944" t="s">
        <v>143</v>
      </c>
      <c r="AN218" s="847">
        <f t="shared" si="118"/>
        <v>0</v>
      </c>
      <c r="AO218" s="857">
        <f t="shared" si="106"/>
        <v>0</v>
      </c>
      <c r="AP218" s="1850" t="s">
        <v>875</v>
      </c>
      <c r="AQ218" s="1998">
        <f t="shared" si="119"/>
        <v>0</v>
      </c>
      <c r="AR218" s="1818">
        <f t="shared" si="120"/>
        <v>0</v>
      </c>
      <c r="AS218" s="9"/>
    </row>
    <row r="219" spans="2:47" ht="14.25" customHeight="1">
      <c r="H219" s="517"/>
      <c r="O219" s="1617" t="s">
        <v>229</v>
      </c>
      <c r="P219" s="1747">
        <f>P223+P222+P221+P220</f>
        <v>0</v>
      </c>
      <c r="Q219" s="1576">
        <f>Q220+Q221+Q222+Q223</f>
        <v>0</v>
      </c>
      <c r="R219" s="1911">
        <f>R220+R221+R222+R223</f>
        <v>1.0289999999999999</v>
      </c>
      <c r="S219" s="1576">
        <f>S220+S221+S222+S223</f>
        <v>1.0289999999999999</v>
      </c>
      <c r="T219" s="1911"/>
      <c r="U219" s="1576">
        <f>U220+U221+U222+U223</f>
        <v>0</v>
      </c>
      <c r="V219" s="1912">
        <f>P219+R219</f>
        <v>1.0289999999999999</v>
      </c>
      <c r="W219" s="1586">
        <f t="shared" si="102"/>
        <v>1.0289999999999999</v>
      </c>
      <c r="X219" s="1979">
        <f>R219+T219</f>
        <v>1.0289999999999999</v>
      </c>
      <c r="Y219" s="1679">
        <f t="shared" si="104"/>
        <v>1.0289999999999999</v>
      </c>
      <c r="AA219" s="1663" t="s">
        <v>84</v>
      </c>
      <c r="AB219" s="1782"/>
      <c r="AC219" s="1639"/>
      <c r="AD219" s="1782"/>
      <c r="AE219" s="1671"/>
      <c r="AF219" s="1782"/>
      <c r="AG219" s="1759"/>
      <c r="AH219" s="1789">
        <f t="shared" si="126"/>
        <v>0</v>
      </c>
      <c r="AI219" s="1772">
        <f t="shared" si="128"/>
        <v>0</v>
      </c>
      <c r="AJ219" s="1789">
        <f t="shared" si="127"/>
        <v>0</v>
      </c>
      <c r="AK219" s="1645">
        <f t="shared" si="124"/>
        <v>0</v>
      </c>
      <c r="AM219" s="1948" t="s">
        <v>229</v>
      </c>
      <c r="AN219" s="847">
        <f t="shared" si="118"/>
        <v>1.0289999999999999</v>
      </c>
      <c r="AO219" s="857">
        <f t="shared" si="106"/>
        <v>1.0289999999999999</v>
      </c>
      <c r="AP219" s="1695" t="s">
        <v>208</v>
      </c>
      <c r="AQ219" s="1840">
        <f t="shared" si="119"/>
        <v>0</v>
      </c>
      <c r="AR219" s="1667">
        <f t="shared" si="120"/>
        <v>0</v>
      </c>
      <c r="AS219" s="66"/>
    </row>
    <row r="220" spans="2:47">
      <c r="E220" s="4"/>
      <c r="F220" s="8"/>
      <c r="G220" s="137"/>
      <c r="O220" s="1618" t="s">
        <v>222</v>
      </c>
      <c r="P220" s="1728"/>
      <c r="Q220" s="1572">
        <f>J196</f>
        <v>0</v>
      </c>
      <c r="R220" s="1971">
        <f>F205+I205</f>
        <v>2.8999999999999998E-2</v>
      </c>
      <c r="S220" s="1572">
        <f>G205+J205</f>
        <v>2.8999999999999998E-2</v>
      </c>
      <c r="T220" s="1932"/>
      <c r="U220" s="1572"/>
      <c r="V220" s="1775">
        <f>P220+R220</f>
        <v>2.8999999999999998E-2</v>
      </c>
      <c r="W220" s="1572"/>
      <c r="X220" s="1725">
        <f t="shared" si="103"/>
        <v>2.8999999999999998E-2</v>
      </c>
      <c r="Y220" s="1607"/>
      <c r="AA220" s="1663" t="s">
        <v>85</v>
      </c>
      <c r="AB220" s="1782"/>
      <c r="AC220" s="1599"/>
      <c r="AD220" s="1782"/>
      <c r="AE220" s="1670"/>
      <c r="AF220" s="1782"/>
      <c r="AG220" s="1682"/>
      <c r="AH220" s="1789">
        <f t="shared" si="126"/>
        <v>0</v>
      </c>
      <c r="AI220" s="1772">
        <f t="shared" si="128"/>
        <v>0</v>
      </c>
      <c r="AJ220" s="1789">
        <f t="shared" si="127"/>
        <v>0</v>
      </c>
      <c r="AK220" s="1645">
        <f t="shared" si="124"/>
        <v>0</v>
      </c>
      <c r="AM220" s="1949" t="s">
        <v>222</v>
      </c>
      <c r="AN220" s="1742">
        <f t="shared" si="118"/>
        <v>2.8999999999999998E-2</v>
      </c>
      <c r="AO220" s="1677">
        <f t="shared" ref="AO220" si="129">Q220+S220+U220</f>
        <v>2.8999999999999998E-2</v>
      </c>
      <c r="AP220" s="1663" t="s">
        <v>81</v>
      </c>
      <c r="AQ220" s="1840">
        <f t="shared" si="119"/>
        <v>20</v>
      </c>
      <c r="AR220" s="1667">
        <f t="shared" si="120"/>
        <v>20</v>
      </c>
      <c r="AS220" s="9"/>
      <c r="AU220" s="94"/>
    </row>
    <row r="221" spans="2:47">
      <c r="E221" s="4"/>
      <c r="F221" s="8"/>
      <c r="G221" s="137"/>
      <c r="O221" s="1619" t="s">
        <v>679</v>
      </c>
      <c r="P221" s="1972"/>
      <c r="Q221" s="1573"/>
      <c r="R221" s="1972">
        <f>J204</f>
        <v>1</v>
      </c>
      <c r="S221" s="1573">
        <f>J204</f>
        <v>1</v>
      </c>
      <c r="T221" s="1933"/>
      <c r="U221" s="1573"/>
      <c r="V221" s="1775">
        <f t="shared" ref="V221:V222" si="130">P221+R221</f>
        <v>1</v>
      </c>
      <c r="W221" s="1573"/>
      <c r="X221" s="1725">
        <f t="shared" si="103"/>
        <v>1</v>
      </c>
      <c r="Y221" s="1608"/>
      <c r="AA221" s="1663" t="s">
        <v>87</v>
      </c>
      <c r="AB221" s="1782"/>
      <c r="AC221" s="1640"/>
      <c r="AD221" s="1782"/>
      <c r="AE221" s="1670"/>
      <c r="AF221" s="1782"/>
      <c r="AG221" s="1682"/>
      <c r="AH221" s="1789">
        <f t="shared" si="126"/>
        <v>0</v>
      </c>
      <c r="AI221" s="1772">
        <f t="shared" si="128"/>
        <v>0</v>
      </c>
      <c r="AJ221" s="1789">
        <f t="shared" si="127"/>
        <v>0</v>
      </c>
      <c r="AK221" s="1645">
        <f t="shared" si="124"/>
        <v>0</v>
      </c>
      <c r="AM221" s="1950" t="s">
        <v>679</v>
      </c>
      <c r="AN221" s="1742">
        <f t="shared" si="118"/>
        <v>1</v>
      </c>
      <c r="AO221" s="1677">
        <f>Q221+S221+U221</f>
        <v>1</v>
      </c>
      <c r="AP221" s="1663" t="s">
        <v>83</v>
      </c>
      <c r="AQ221" s="1840">
        <f t="shared" si="119"/>
        <v>10.8</v>
      </c>
      <c r="AR221" s="1667">
        <f t="shared" si="120"/>
        <v>10.8</v>
      </c>
    </row>
    <row r="222" spans="2:47" ht="15" customHeight="1">
      <c r="E222" s="4"/>
      <c r="F222" s="8"/>
      <c r="G222" s="142"/>
      <c r="O222" s="1620" t="s">
        <v>449</v>
      </c>
      <c r="P222" s="1982"/>
      <c r="Q222" s="1574"/>
      <c r="R222" s="1730"/>
      <c r="S222" s="1574"/>
      <c r="T222" s="1981"/>
      <c r="U222" s="1574"/>
      <c r="V222" s="1775">
        <f t="shared" si="130"/>
        <v>0</v>
      </c>
      <c r="W222" s="1574"/>
      <c r="X222" s="1725">
        <f t="shared" si="103"/>
        <v>0</v>
      </c>
      <c r="Y222" s="1609"/>
      <c r="AA222" s="1663" t="s">
        <v>88</v>
      </c>
      <c r="AB222" s="1782"/>
      <c r="AC222" s="1599"/>
      <c r="AD222" s="1782"/>
      <c r="AE222" s="1670"/>
      <c r="AF222" s="1782"/>
      <c r="AG222" s="1682"/>
      <c r="AH222" s="1789">
        <f t="shared" si="126"/>
        <v>0</v>
      </c>
      <c r="AI222" s="1772">
        <f t="shared" si="128"/>
        <v>0</v>
      </c>
      <c r="AJ222" s="1789">
        <f t="shared" si="127"/>
        <v>0</v>
      </c>
      <c r="AK222" s="1645">
        <f t="shared" si="124"/>
        <v>0</v>
      </c>
      <c r="AM222" s="1951" t="s">
        <v>449</v>
      </c>
      <c r="AN222" s="1742">
        <f t="shared" si="118"/>
        <v>0</v>
      </c>
      <c r="AO222" s="1677">
        <f t="shared" ref="AO222" si="131">Q222+S222+U222</f>
        <v>0</v>
      </c>
      <c r="AP222" s="1663" t="s">
        <v>84</v>
      </c>
      <c r="AQ222" s="1840">
        <f t="shared" si="119"/>
        <v>0</v>
      </c>
      <c r="AR222" s="1667">
        <f t="shared" si="120"/>
        <v>0</v>
      </c>
    </row>
    <row r="223" spans="2:47" ht="13.5" customHeight="1" thickBot="1">
      <c r="E223" s="4"/>
      <c r="F223" s="8"/>
      <c r="G223" s="142"/>
      <c r="O223" s="1942" t="s">
        <v>167</v>
      </c>
      <c r="P223" s="1983"/>
      <c r="Q223" s="1574"/>
      <c r="R223" s="1725">
        <f>L208</f>
        <v>0</v>
      </c>
      <c r="S223" s="1574"/>
      <c r="T223" s="1934"/>
      <c r="U223" s="1574"/>
      <c r="V223" s="1976">
        <f>P223+R223</f>
        <v>0</v>
      </c>
      <c r="W223" s="1574"/>
      <c r="X223" s="1976">
        <f t="shared" si="103"/>
        <v>0</v>
      </c>
      <c r="Y223" s="1609"/>
      <c r="AA223" s="1685" t="s">
        <v>90</v>
      </c>
      <c r="AB223" s="1927"/>
      <c r="AC223" s="1907"/>
      <c r="AD223" s="1783"/>
      <c r="AE223" s="1687"/>
      <c r="AF223" s="1783"/>
      <c r="AG223" s="1760"/>
      <c r="AH223" s="1790">
        <f t="shared" si="126"/>
        <v>0</v>
      </c>
      <c r="AI223" s="1772">
        <f t="shared" si="128"/>
        <v>0</v>
      </c>
      <c r="AJ223" s="1790">
        <f t="shared" si="127"/>
        <v>0</v>
      </c>
      <c r="AK223" s="1805">
        <f t="shared" si="124"/>
        <v>0</v>
      </c>
      <c r="AL223" s="1570"/>
      <c r="AM223" s="1953" t="s">
        <v>167</v>
      </c>
      <c r="AN223" s="1742">
        <f t="shared" si="118"/>
        <v>0</v>
      </c>
      <c r="AO223" s="1677">
        <f>Q223+S223+U223</f>
        <v>0</v>
      </c>
      <c r="AP223" s="1663" t="s">
        <v>85</v>
      </c>
      <c r="AQ223" s="1840">
        <f t="shared" si="119"/>
        <v>0</v>
      </c>
      <c r="AR223" s="1667">
        <f t="shared" si="120"/>
        <v>0</v>
      </c>
    </row>
    <row r="224" spans="2:47" ht="13.5" customHeight="1" thickBot="1">
      <c r="E224" s="4"/>
      <c r="F224" s="8"/>
      <c r="G224" s="142"/>
      <c r="O224" s="563" t="s">
        <v>116</v>
      </c>
      <c r="P224" s="2060">
        <f>F194</f>
        <v>7.8</v>
      </c>
      <c r="Q224" s="2022">
        <f>G194</f>
        <v>7.8</v>
      </c>
      <c r="R224" s="1610"/>
      <c r="S224" s="2022"/>
      <c r="T224" s="1610">
        <f>I215</f>
        <v>6.3</v>
      </c>
      <c r="U224" s="2022">
        <f>J215</f>
        <v>6.3</v>
      </c>
      <c r="V224" s="1837">
        <f>P224+R224</f>
        <v>7.8</v>
      </c>
      <c r="W224" s="2022"/>
      <c r="X224" s="1837">
        <f>R224+T224</f>
        <v>6.3</v>
      </c>
      <c r="Y224" s="1611"/>
      <c r="AA224" s="1688" t="s">
        <v>877</v>
      </c>
      <c r="AB224" s="1786">
        <f t="shared" ref="AB224:AG224" si="132">SUM(AB216:AB223)</f>
        <v>0</v>
      </c>
      <c r="AC224" s="1689">
        <f t="shared" si="132"/>
        <v>0</v>
      </c>
      <c r="AD224" s="1906">
        <f t="shared" si="132"/>
        <v>20</v>
      </c>
      <c r="AE224" s="1690">
        <f t="shared" si="132"/>
        <v>20</v>
      </c>
      <c r="AF224" s="1786">
        <f t="shared" si="132"/>
        <v>10.8</v>
      </c>
      <c r="AG224" s="1761">
        <f t="shared" si="132"/>
        <v>10.8</v>
      </c>
      <c r="AH224" s="1797">
        <f t="shared" ref="AH224:AJ227" si="133">AB224+AD224</f>
        <v>20</v>
      </c>
      <c r="AI224" s="1816">
        <f t="shared" si="133"/>
        <v>20</v>
      </c>
      <c r="AJ224" s="1797">
        <f t="shared" si="133"/>
        <v>30.8</v>
      </c>
      <c r="AK224" s="1691">
        <f t="shared" si="124"/>
        <v>30.8</v>
      </c>
      <c r="AL224" s="1570"/>
      <c r="AM224" s="573" t="s">
        <v>116</v>
      </c>
      <c r="AN224" s="847">
        <f>P224+R224+T224</f>
        <v>14.1</v>
      </c>
      <c r="AO224" s="1995">
        <f>Q224+S224+U224</f>
        <v>14.1</v>
      </c>
      <c r="AP224" s="1663" t="s">
        <v>87</v>
      </c>
      <c r="AQ224" s="1840">
        <f t="shared" si="119"/>
        <v>0</v>
      </c>
      <c r="AR224" s="1667">
        <f t="shared" si="120"/>
        <v>0</v>
      </c>
    </row>
    <row r="225" spans="2:44" ht="14.25" customHeight="1">
      <c r="E225" s="4"/>
      <c r="F225" s="8"/>
      <c r="G225" s="142"/>
      <c r="L225" s="201"/>
      <c r="Q225" s="1570"/>
      <c r="S225" s="1570"/>
      <c r="U225" s="1570"/>
      <c r="W225" s="1570"/>
      <c r="Y225" s="1570"/>
      <c r="AA225" s="2062" t="s">
        <v>93</v>
      </c>
      <c r="AB225" s="1784"/>
      <c r="AC225" s="2064"/>
      <c r="AD225" s="1788">
        <f>L205</f>
        <v>205</v>
      </c>
      <c r="AE225" s="2067">
        <f>M205</f>
        <v>205</v>
      </c>
      <c r="AF225" s="1784">
        <f>F217</f>
        <v>48.72</v>
      </c>
      <c r="AG225" s="2064">
        <f>G217</f>
        <v>48.72</v>
      </c>
      <c r="AH225" s="1788">
        <f t="shared" si="133"/>
        <v>205</v>
      </c>
      <c r="AI225" s="2069">
        <f t="shared" si="133"/>
        <v>205</v>
      </c>
      <c r="AJ225" s="1788">
        <f t="shared" si="133"/>
        <v>253.72</v>
      </c>
      <c r="AK225" s="1709">
        <f t="shared" si="124"/>
        <v>253.72</v>
      </c>
      <c r="AL225" s="1570"/>
      <c r="AP225" s="1663" t="s">
        <v>88</v>
      </c>
      <c r="AQ225" s="1840">
        <f t="shared" si="119"/>
        <v>0</v>
      </c>
      <c r="AR225" s="1667">
        <f t="shared" si="120"/>
        <v>0</v>
      </c>
    </row>
    <row r="226" spans="2:44" ht="12.75" customHeight="1" thickBot="1">
      <c r="E226" s="4"/>
      <c r="F226" s="46"/>
      <c r="G226" s="124"/>
      <c r="L226" s="155"/>
      <c r="Q226" s="1570"/>
      <c r="S226" s="1570"/>
      <c r="U226" s="1570"/>
      <c r="W226" s="1570"/>
      <c r="Y226" s="1570"/>
      <c r="AA226" s="2063" t="s">
        <v>908</v>
      </c>
      <c r="AB226" s="1783">
        <f>I190</f>
        <v>5</v>
      </c>
      <c r="AC226" s="2065">
        <f>J190</f>
        <v>5</v>
      </c>
      <c r="AD226" s="1790"/>
      <c r="AE226" s="2068"/>
      <c r="AF226" s="1783">
        <f>I217</f>
        <v>24</v>
      </c>
      <c r="AG226" s="2065">
        <f>J217</f>
        <v>24</v>
      </c>
      <c r="AH226" s="1790">
        <f t="shared" si="133"/>
        <v>5</v>
      </c>
      <c r="AI226" s="1767">
        <f t="shared" si="133"/>
        <v>5</v>
      </c>
      <c r="AJ226" s="1790">
        <f t="shared" si="133"/>
        <v>24</v>
      </c>
      <c r="AK226" s="1701">
        <f t="shared" si="124"/>
        <v>24</v>
      </c>
      <c r="AL226" s="1570"/>
      <c r="AP226" s="1685" t="s">
        <v>90</v>
      </c>
      <c r="AQ226" s="1840">
        <f t="shared" si="119"/>
        <v>0</v>
      </c>
      <c r="AR226" s="1667">
        <f t="shared" si="120"/>
        <v>0</v>
      </c>
    </row>
    <row r="227" spans="2:44" ht="14.25" customHeight="1" thickBot="1">
      <c r="Q227" s="1570"/>
      <c r="S227" s="1570"/>
      <c r="U227" s="1570"/>
      <c r="W227" s="1570"/>
      <c r="Y227" s="1570"/>
      <c r="AA227" s="1720" t="s">
        <v>909</v>
      </c>
      <c r="AB227" s="2070">
        <f t="shared" ref="AB227:AG227" si="134">SUM(AB225:AB226)</f>
        <v>5</v>
      </c>
      <c r="AC227" s="2066">
        <f t="shared" si="134"/>
        <v>5</v>
      </c>
      <c r="AD227" s="2071">
        <f t="shared" si="134"/>
        <v>205</v>
      </c>
      <c r="AE227" s="1705">
        <f t="shared" si="134"/>
        <v>205</v>
      </c>
      <c r="AF227" s="2070">
        <f t="shared" si="134"/>
        <v>72.72</v>
      </c>
      <c r="AG227" s="2072">
        <f t="shared" si="134"/>
        <v>72.72</v>
      </c>
      <c r="AH227" s="1795">
        <f t="shared" si="133"/>
        <v>210</v>
      </c>
      <c r="AI227" s="1768">
        <f t="shared" si="133"/>
        <v>210</v>
      </c>
      <c r="AJ227" s="1795">
        <f t="shared" si="133"/>
        <v>277.72000000000003</v>
      </c>
      <c r="AK227" s="1706">
        <f t="shared" si="124"/>
        <v>277.72000000000003</v>
      </c>
      <c r="AL227" s="1570"/>
      <c r="AP227" s="1688" t="s">
        <v>877</v>
      </c>
      <c r="AQ227" s="1919">
        <f t="shared" si="119"/>
        <v>30.8</v>
      </c>
      <c r="AR227" s="1820">
        <f t="shared" si="120"/>
        <v>30.8</v>
      </c>
    </row>
    <row r="228" spans="2:44" ht="15.75" customHeight="1">
      <c r="S228" s="1570"/>
      <c r="U228" s="1570"/>
      <c r="W228" s="1570"/>
      <c r="Y228" s="1570"/>
      <c r="AC228" s="62"/>
      <c r="AE228" s="62"/>
      <c r="AF228" s="1570"/>
      <c r="AG228" s="786"/>
      <c r="AH228" s="1570"/>
      <c r="AI228" s="62"/>
      <c r="AJ228" s="1750"/>
      <c r="AK228" s="62"/>
      <c r="AL228" s="367"/>
      <c r="AN228" s="9"/>
    </row>
    <row r="229" spans="2:44" ht="15" customHeight="1">
      <c r="Q229" s="1570"/>
      <c r="S229" s="1570"/>
      <c r="U229" s="1570"/>
      <c r="W229" s="1570"/>
      <c r="Y229" s="1570"/>
      <c r="AC229" s="62"/>
      <c r="AE229" s="62"/>
      <c r="AF229" s="1570"/>
      <c r="AG229" s="786"/>
      <c r="AH229" s="1570"/>
      <c r="AI229" s="62"/>
      <c r="AJ229" s="1665"/>
      <c r="AK229" s="62"/>
      <c r="AL229" s="367"/>
      <c r="AN229" s="9"/>
    </row>
    <row r="230" spans="2:44" ht="13.5" customHeight="1">
      <c r="Q230" s="1570"/>
      <c r="S230" s="1570"/>
      <c r="U230" s="1570"/>
      <c r="W230" s="1570"/>
      <c r="Y230" s="1570"/>
      <c r="AC230" s="62"/>
      <c r="AE230" s="62"/>
      <c r="AF230" s="1570"/>
      <c r="AG230" s="786"/>
      <c r="AH230" s="1570"/>
      <c r="AI230" s="62"/>
      <c r="AJ230" s="282"/>
      <c r="AK230" s="62"/>
      <c r="AL230" s="1570"/>
    </row>
    <row r="231" spans="2:44" ht="13.5" customHeight="1">
      <c r="Q231" s="1570"/>
      <c r="S231" s="1570"/>
      <c r="U231" s="1570"/>
      <c r="W231" s="1570"/>
      <c r="Y231" s="1570"/>
      <c r="AC231" s="62"/>
      <c r="AE231" s="62"/>
      <c r="AF231" s="1570"/>
      <c r="AG231" s="786"/>
      <c r="AH231" s="1570"/>
      <c r="AI231" s="62"/>
      <c r="AJ231" s="282"/>
      <c r="AK231" s="62"/>
      <c r="AL231" s="1570"/>
    </row>
    <row r="232" spans="2:44" ht="14.25" customHeight="1">
      <c r="C232" s="171" t="s">
        <v>551</v>
      </c>
      <c r="G232" s="2"/>
      <c r="H232" s="2"/>
      <c r="I232" s="2"/>
      <c r="L232" s="2"/>
      <c r="O232" s="4"/>
      <c r="Q232" s="367"/>
      <c r="S232" s="1581"/>
      <c r="U232" s="1570"/>
      <c r="W232" s="1570"/>
      <c r="Y232" s="1570"/>
      <c r="AC232" s="62"/>
      <c r="AE232" s="62"/>
      <c r="AF232" s="1570"/>
      <c r="AG232" s="786"/>
      <c r="AH232" s="1570"/>
      <c r="AI232" s="62"/>
      <c r="AJ232" s="1750"/>
      <c r="AK232" s="62"/>
      <c r="AL232" s="367"/>
      <c r="AN232" s="9"/>
    </row>
    <row r="233" spans="2:44" ht="15" customHeight="1">
      <c r="C233"/>
      <c r="D233" s="94" t="s">
        <v>354</v>
      </c>
      <c r="F233" s="15"/>
      <c r="K233" s="87"/>
      <c r="O233" s="45"/>
      <c r="Q233" s="367"/>
      <c r="S233" s="367"/>
      <c r="U233" s="1570"/>
      <c r="W233" s="1570"/>
      <c r="Y233" s="1570"/>
      <c r="AC233" s="62"/>
      <c r="AE233" s="62"/>
      <c r="AF233" s="1570"/>
      <c r="AG233" s="786"/>
      <c r="AH233" s="1570"/>
      <c r="AI233" s="62"/>
      <c r="AJ233" s="1750"/>
      <c r="AK233" s="62"/>
      <c r="AL233" s="367"/>
      <c r="AN233" s="9"/>
    </row>
    <row r="234" spans="2:44">
      <c r="C234" s="1" t="s">
        <v>552</v>
      </c>
      <c r="Q234" s="1570"/>
      <c r="S234" s="1570"/>
      <c r="U234" s="1570"/>
      <c r="W234" s="1570"/>
      <c r="Y234" s="1570"/>
      <c r="AC234" s="62"/>
      <c r="AE234" s="62"/>
      <c r="AF234" s="1570"/>
      <c r="AG234" s="786"/>
      <c r="AH234" s="1570"/>
      <c r="AI234" s="62"/>
      <c r="AJ234" s="1751"/>
      <c r="AK234" s="62"/>
      <c r="AL234" s="367"/>
      <c r="AN234" s="9"/>
    </row>
    <row r="235" spans="2:44">
      <c r="C235" s="1" t="s">
        <v>553</v>
      </c>
      <c r="Q235" s="1570"/>
      <c r="S235" s="1570"/>
      <c r="U235" s="1570"/>
      <c r="W235" s="1570"/>
      <c r="Y235" s="1570"/>
      <c r="AC235" s="62"/>
      <c r="AE235" s="62"/>
      <c r="AF235" s="1570"/>
      <c r="AG235" s="786"/>
      <c r="AH235" s="1570"/>
      <c r="AI235" s="62"/>
      <c r="AJ235" s="282"/>
      <c r="AK235" s="62"/>
      <c r="AL235" s="1570"/>
    </row>
    <row r="236" spans="2:44" ht="12.75" customHeight="1">
      <c r="C236" s="1" t="s">
        <v>553</v>
      </c>
      <c r="E236" t="s">
        <v>554</v>
      </c>
      <c r="O236" t="s">
        <v>872</v>
      </c>
      <c r="Y236" s="1570"/>
      <c r="AK236" s="62"/>
      <c r="AL236" s="1570"/>
    </row>
    <row r="237" spans="2:44">
      <c r="C237" s="1" t="s">
        <v>555</v>
      </c>
      <c r="E237" t="s">
        <v>556</v>
      </c>
      <c r="Q237" s="1570"/>
      <c r="S237" s="1570"/>
      <c r="U237" s="367"/>
      <c r="W237" s="367"/>
      <c r="Y237" s="367"/>
      <c r="AA237" t="s">
        <v>872</v>
      </c>
      <c r="AK237" s="62"/>
      <c r="AL237" s="1570"/>
    </row>
    <row r="238" spans="2:44" ht="14.25" customHeight="1">
      <c r="C238" s="1" t="s">
        <v>555</v>
      </c>
      <c r="E238" t="s">
        <v>557</v>
      </c>
      <c r="O238" s="517"/>
      <c r="Q238" s="1570"/>
      <c r="S238" s="1570"/>
      <c r="U238" s="1570"/>
      <c r="W238" s="1570"/>
      <c r="Y238" s="1570"/>
      <c r="AA238" s="94" t="str">
        <f>O242</f>
        <v>5 - й   день</v>
      </c>
      <c r="AB238" s="201" t="s">
        <v>513</v>
      </c>
      <c r="AG238" s="129" t="s">
        <v>174</v>
      </c>
      <c r="AI238" s="45" t="s">
        <v>558</v>
      </c>
      <c r="AJ238" s="63"/>
      <c r="AK238" s="62"/>
      <c r="AL238" s="1570"/>
    </row>
    <row r="239" spans="2:44" ht="12.75" customHeight="1" thickBot="1">
      <c r="B239" s="2" t="s">
        <v>513</v>
      </c>
      <c r="F239" s="129" t="s">
        <v>174</v>
      </c>
      <c r="I239" s="13" t="s">
        <v>558</v>
      </c>
      <c r="K239" s="346"/>
      <c r="Q239" s="1570"/>
      <c r="S239" s="1570"/>
      <c r="U239" s="1570"/>
      <c r="W239" s="1570"/>
      <c r="Y239" s="1570"/>
      <c r="AC239" s="62"/>
      <c r="AE239" s="62"/>
      <c r="AF239" s="367"/>
      <c r="AG239" s="786"/>
      <c r="AH239" s="367"/>
      <c r="AI239" s="62"/>
      <c r="AJ239" s="282"/>
      <c r="AK239" s="62"/>
      <c r="AL239" s="1570"/>
    </row>
    <row r="240" spans="2:44" ht="13.5" customHeight="1" thickBot="1">
      <c r="B240" s="25" t="s">
        <v>565</v>
      </c>
      <c r="C240" s="83" t="s">
        <v>3</v>
      </c>
      <c r="D240" s="84" t="s">
        <v>4</v>
      </c>
      <c r="E240" s="88" t="s">
        <v>69</v>
      </c>
      <c r="F240" s="68"/>
      <c r="G240" s="68"/>
      <c r="H240" s="68"/>
      <c r="I240" s="68"/>
      <c r="J240" s="68"/>
      <c r="K240" s="68"/>
      <c r="L240" s="68"/>
      <c r="M240" s="54"/>
      <c r="O240" s="740"/>
      <c r="Q240" s="1570"/>
      <c r="S240" s="1592"/>
      <c r="U240" s="1570"/>
      <c r="W240" s="1570"/>
      <c r="Y240" s="1570"/>
      <c r="AC240" s="62"/>
      <c r="AE240" s="62"/>
      <c r="AF240" s="367"/>
      <c r="AG240" s="786"/>
      <c r="AH240" s="367"/>
      <c r="AI240" s="62"/>
      <c r="AJ240" s="282"/>
      <c r="AK240" s="62"/>
      <c r="AL240" s="1570"/>
    </row>
    <row r="241" spans="2:49" ht="15.75" thickBot="1">
      <c r="B241" s="287" t="s">
        <v>566</v>
      </c>
      <c r="C241"/>
      <c r="D241" s="288" t="s">
        <v>71</v>
      </c>
      <c r="E241" s="1067" t="s">
        <v>349</v>
      </c>
      <c r="F241" s="286"/>
      <c r="G241" s="471"/>
      <c r="H241" s="1074" t="s">
        <v>505</v>
      </c>
      <c r="I241" s="38"/>
      <c r="J241" s="50"/>
      <c r="K241" s="1493" t="s">
        <v>650</v>
      </c>
      <c r="L241" s="1494"/>
      <c r="M241" s="738"/>
      <c r="Q241" s="1570"/>
      <c r="S241" s="367"/>
      <c r="U241" s="1570"/>
      <c r="W241" s="1570"/>
      <c r="Y241" s="1570"/>
      <c r="AC241" s="62"/>
      <c r="AE241" s="62"/>
      <c r="AF241" s="367"/>
      <c r="AG241" s="786"/>
      <c r="AH241" s="367"/>
      <c r="AI241" s="62"/>
      <c r="AJ241" s="142"/>
      <c r="AK241" s="62"/>
      <c r="AL241" s="1570"/>
      <c r="AN241" s="142"/>
    </row>
    <row r="242" spans="2:49" ht="16.5" thickBot="1">
      <c r="B242" s="868" t="s">
        <v>414</v>
      </c>
      <c r="C242" s="68"/>
      <c r="D242" s="68"/>
      <c r="E242" s="1068" t="s">
        <v>517</v>
      </c>
      <c r="F242" s="334"/>
      <c r="G242" s="1069"/>
      <c r="H242" s="281" t="s">
        <v>118</v>
      </c>
      <c r="I242" s="97" t="s">
        <v>119</v>
      </c>
      <c r="J242" s="292" t="s">
        <v>120</v>
      </c>
      <c r="K242" s="313" t="s">
        <v>118</v>
      </c>
      <c r="L242" s="97" t="s">
        <v>119</v>
      </c>
      <c r="M242" s="135" t="s">
        <v>120</v>
      </c>
      <c r="O242" s="1936" t="s">
        <v>911</v>
      </c>
      <c r="P242" s="516" t="s">
        <v>513</v>
      </c>
      <c r="Q242" s="38"/>
      <c r="R242" s="38"/>
      <c r="S242" s="38"/>
      <c r="T242" s="38"/>
      <c r="U242" s="1937" t="s">
        <v>174</v>
      </c>
      <c r="V242" s="38"/>
      <c r="W242" s="1938" t="s">
        <v>558</v>
      </c>
      <c r="X242" s="1939"/>
      <c r="Y242" s="1582"/>
      <c r="AC242" s="62"/>
      <c r="AE242" s="62"/>
      <c r="AF242" s="1570"/>
      <c r="AG242" s="786"/>
      <c r="AH242" s="1570"/>
      <c r="AI242" s="62"/>
      <c r="AJ242" s="282"/>
      <c r="AK242" s="62"/>
      <c r="AL242" s="1570"/>
    </row>
    <row r="243" spans="2:49" ht="15.75" thickBot="1">
      <c r="B243" s="88"/>
      <c r="C243" s="162" t="s">
        <v>199</v>
      </c>
      <c r="D243" s="54"/>
      <c r="E243" s="155" t="s">
        <v>118</v>
      </c>
      <c r="F243" s="103" t="s">
        <v>119</v>
      </c>
      <c r="G243" s="136" t="s">
        <v>120</v>
      </c>
      <c r="H243" s="100" t="s">
        <v>99</v>
      </c>
      <c r="I243" s="123">
        <v>62.48</v>
      </c>
      <c r="J243" s="309">
        <v>53.1</v>
      </c>
      <c r="K243" s="98" t="s">
        <v>413</v>
      </c>
      <c r="L243" s="128">
        <v>20</v>
      </c>
      <c r="M243" s="132">
        <v>20</v>
      </c>
      <c r="O243" s="1612" t="s">
        <v>508</v>
      </c>
      <c r="P243" s="1676" t="s">
        <v>886</v>
      </c>
      <c r="Q243" s="1602"/>
      <c r="R243" s="1676" t="s">
        <v>885</v>
      </c>
      <c r="S243" s="1602"/>
      <c r="T243" s="1676" t="s">
        <v>887</v>
      </c>
      <c r="U243" s="1602"/>
      <c r="V243" s="1676" t="s">
        <v>889</v>
      </c>
      <c r="W243" s="1602"/>
      <c r="X243" s="1977" t="s">
        <v>891</v>
      </c>
      <c r="Y243" s="1978"/>
      <c r="AA243" s="1612" t="s">
        <v>508</v>
      </c>
      <c r="AB243" s="1676" t="s">
        <v>886</v>
      </c>
      <c r="AC243" s="1602"/>
      <c r="AD243" s="1676" t="s">
        <v>885</v>
      </c>
      <c r="AE243" s="1602"/>
      <c r="AF243" s="1676" t="s">
        <v>887</v>
      </c>
      <c r="AG243" s="1602"/>
      <c r="AH243" s="1676" t="s">
        <v>888</v>
      </c>
      <c r="AI243" s="1602"/>
      <c r="AJ243" s="1798" t="s">
        <v>890</v>
      </c>
      <c r="AK243" s="1602"/>
      <c r="AL243" s="1570"/>
      <c r="AM243" s="37"/>
      <c r="AN243" s="312" t="s">
        <v>893</v>
      </c>
      <c r="AO243" s="38"/>
      <c r="AP243" s="68"/>
      <c r="AQ243" s="38"/>
      <c r="AR243" s="50"/>
      <c r="AU243" s="855"/>
      <c r="AW243" s="855"/>
    </row>
    <row r="244" spans="2:49" ht="14.25" customHeight="1" thickBot="1">
      <c r="B244" s="477" t="s">
        <v>335</v>
      </c>
      <c r="C244" s="398" t="s">
        <v>972</v>
      </c>
      <c r="D244" s="410">
        <v>60</v>
      </c>
      <c r="E244" s="259" t="s">
        <v>239</v>
      </c>
      <c r="F244" s="123">
        <v>211</v>
      </c>
      <c r="G244" s="735">
        <v>157.9</v>
      </c>
      <c r="H244" s="240" t="s">
        <v>244</v>
      </c>
      <c r="I244" s="233">
        <v>30.231000000000002</v>
      </c>
      <c r="J244" s="235">
        <v>26.9</v>
      </c>
      <c r="K244" s="186" t="s">
        <v>57</v>
      </c>
      <c r="L244" s="271">
        <v>10</v>
      </c>
      <c r="M244" s="737">
        <v>10</v>
      </c>
      <c r="O244" s="871"/>
      <c r="P244" s="1621" t="s">
        <v>119</v>
      </c>
      <c r="Q244" s="1622" t="s">
        <v>120</v>
      </c>
      <c r="R244" s="1621" t="s">
        <v>119</v>
      </c>
      <c r="S244" s="1622" t="s">
        <v>120</v>
      </c>
      <c r="T244" s="1621" t="s">
        <v>119</v>
      </c>
      <c r="U244" s="1622" t="s">
        <v>120</v>
      </c>
      <c r="V244" s="1621" t="s">
        <v>119</v>
      </c>
      <c r="W244" s="1622" t="s">
        <v>120</v>
      </c>
      <c r="X244" s="1804" t="s">
        <v>119</v>
      </c>
      <c r="Y244" s="1822" t="s">
        <v>120</v>
      </c>
      <c r="AA244" s="2003" t="s">
        <v>67</v>
      </c>
      <c r="AB244" s="1621" t="s">
        <v>119</v>
      </c>
      <c r="AC244" s="1664" t="s">
        <v>120</v>
      </c>
      <c r="AD244" s="1637" t="s">
        <v>119</v>
      </c>
      <c r="AE244" s="1638" t="s">
        <v>120</v>
      </c>
      <c r="AF244" s="1637" t="s">
        <v>119</v>
      </c>
      <c r="AG244" s="1638" t="s">
        <v>120</v>
      </c>
      <c r="AH244" s="1621" t="s">
        <v>119</v>
      </c>
      <c r="AI244" s="1622" t="s">
        <v>120</v>
      </c>
      <c r="AJ244" s="1799" t="s">
        <v>119</v>
      </c>
      <c r="AK244" s="1622" t="s">
        <v>120</v>
      </c>
      <c r="AM244" s="1612" t="s">
        <v>508</v>
      </c>
      <c r="AN244" s="1862" t="s">
        <v>892</v>
      </c>
      <c r="AO244" s="1832"/>
      <c r="AP244" s="1612" t="s">
        <v>508</v>
      </c>
      <c r="AQ244" s="2001" t="s">
        <v>892</v>
      </c>
      <c r="AR244" s="1841"/>
    </row>
    <row r="245" spans="2:49" ht="13.5" customHeight="1" thickBot="1">
      <c r="B245" s="168"/>
      <c r="C245" s="1099" t="s">
        <v>973</v>
      </c>
      <c r="D245" s="341"/>
      <c r="E245" s="192" t="s">
        <v>79</v>
      </c>
      <c r="F245" s="233">
        <v>25.06</v>
      </c>
      <c r="G245" s="411">
        <v>17.899999999999999</v>
      </c>
      <c r="H245" s="185" t="s">
        <v>91</v>
      </c>
      <c r="I245" s="233">
        <v>18</v>
      </c>
      <c r="J245" s="235">
        <v>18</v>
      </c>
      <c r="K245" s="186" t="s">
        <v>312</v>
      </c>
      <c r="L245" s="276">
        <v>3.75</v>
      </c>
      <c r="M245" s="236">
        <v>3</v>
      </c>
      <c r="O245" s="1992" t="s">
        <v>165</v>
      </c>
      <c r="P245" s="1731">
        <f>D251</f>
        <v>30</v>
      </c>
      <c r="Q245" s="2018">
        <f>D251</f>
        <v>30</v>
      </c>
      <c r="R245" s="1731">
        <f>D267</f>
        <v>40</v>
      </c>
      <c r="S245" s="2018">
        <f>D267</f>
        <v>40</v>
      </c>
      <c r="T245" s="1731">
        <f>D277</f>
        <v>50</v>
      </c>
      <c r="U245" s="2018">
        <f>D277</f>
        <v>50</v>
      </c>
      <c r="V245" s="1731">
        <f>P245+R245</f>
        <v>70</v>
      </c>
      <c r="W245" s="2019">
        <f>Q245+S245</f>
        <v>70</v>
      </c>
      <c r="X245" s="1731">
        <f>R245+T245</f>
        <v>90</v>
      </c>
      <c r="Y245" s="1583">
        <f>S245+U245</f>
        <v>90</v>
      </c>
      <c r="AA245" s="178" t="s">
        <v>159</v>
      </c>
      <c r="AB245" s="1778"/>
      <c r="AC245" s="840"/>
      <c r="AD245" s="1788"/>
      <c r="AE245" s="1598"/>
      <c r="AF245" s="1792"/>
      <c r="AG245" s="1681"/>
      <c r="AH245" s="1792">
        <f>AB245+AD245</f>
        <v>0</v>
      </c>
      <c r="AI245" s="1586">
        <f>AC245+AE245</f>
        <v>0</v>
      </c>
      <c r="AJ245" s="1792">
        <f>AD245+AF245</f>
        <v>0</v>
      </c>
      <c r="AK245" s="1583">
        <f>AE245+AG245</f>
        <v>0</v>
      </c>
      <c r="AM245" s="871"/>
      <c r="AN245" s="1863" t="s">
        <v>119</v>
      </c>
      <c r="AO245" s="1833" t="s">
        <v>120</v>
      </c>
      <c r="AP245" s="2003" t="s">
        <v>67</v>
      </c>
      <c r="AQ245" s="2073" t="s">
        <v>119</v>
      </c>
      <c r="AR245" s="1985" t="s">
        <v>120</v>
      </c>
    </row>
    <row r="246" spans="2:49">
      <c r="B246" s="303" t="s">
        <v>203</v>
      </c>
      <c r="C246" s="1099" t="s">
        <v>505</v>
      </c>
      <c r="D246" s="2519">
        <v>100</v>
      </c>
      <c r="E246" s="192" t="s">
        <v>221</v>
      </c>
      <c r="F246" s="233">
        <v>8.64</v>
      </c>
      <c r="G246" s="411">
        <v>7.2</v>
      </c>
      <c r="H246" s="185" t="s">
        <v>68</v>
      </c>
      <c r="I246" s="233">
        <v>12.36</v>
      </c>
      <c r="J246" s="247">
        <v>12.36</v>
      </c>
      <c r="K246" s="186" t="s">
        <v>176</v>
      </c>
      <c r="L246" s="271">
        <v>10</v>
      </c>
      <c r="M246" s="737">
        <v>10</v>
      </c>
      <c r="N246" s="517"/>
      <c r="O246" s="1944" t="s">
        <v>164</v>
      </c>
      <c r="P246" s="1724">
        <f>I245+D250</f>
        <v>68</v>
      </c>
      <c r="Q246" s="2020">
        <f>J245+D250</f>
        <v>68</v>
      </c>
      <c r="R246" s="1724">
        <f>D266</f>
        <v>60</v>
      </c>
      <c r="S246" s="2020">
        <f>D266</f>
        <v>60</v>
      </c>
      <c r="T246" s="1724">
        <f>F278</f>
        <v>22</v>
      </c>
      <c r="U246" s="2020">
        <f>G278</f>
        <v>22</v>
      </c>
      <c r="V246" s="1724">
        <f t="shared" ref="V246:V274" si="135">P246+R246</f>
        <v>128</v>
      </c>
      <c r="W246" s="1586">
        <f t="shared" ref="W246:W275" si="136">Q246+S246</f>
        <v>128</v>
      </c>
      <c r="X246" s="1724">
        <f t="shared" ref="X246:X279" si="137">R246+T246</f>
        <v>82</v>
      </c>
      <c r="Y246" s="1585">
        <f t="shared" ref="Y246:Y275" si="138">S246+U246</f>
        <v>82</v>
      </c>
      <c r="AA246" s="178" t="s">
        <v>70</v>
      </c>
      <c r="AB246" s="444"/>
      <c r="AC246" s="841"/>
      <c r="AD246" s="1789"/>
      <c r="AE246" s="1598"/>
      <c r="AF246" s="1789"/>
      <c r="AG246" s="1681"/>
      <c r="AH246" s="1789">
        <f t="shared" ref="AH246:AH259" si="139">AB246+AD246</f>
        <v>0</v>
      </c>
      <c r="AI246" s="1586">
        <f t="shared" ref="AI246:AI260" si="140">AC246+AE246</f>
        <v>0</v>
      </c>
      <c r="AJ246" s="1789">
        <f t="shared" ref="AJ246:AJ259" si="141">AD246+AF246</f>
        <v>0</v>
      </c>
      <c r="AK246" s="1585">
        <f t="shared" ref="AK246:AK260" si="142">AE246+AG246</f>
        <v>0</v>
      </c>
      <c r="AM246" s="1992" t="s">
        <v>165</v>
      </c>
      <c r="AN246" s="1743">
        <f>P245+R245+T245</f>
        <v>120</v>
      </c>
      <c r="AO246" s="1955">
        <f>Q245+S245+U245</f>
        <v>120</v>
      </c>
      <c r="AP246" s="1636" t="s">
        <v>159</v>
      </c>
      <c r="AQ246" s="1800">
        <f>AB245+AD245+AF245</f>
        <v>0</v>
      </c>
      <c r="AR246" s="1984">
        <f>AC245+AE245+AG245</f>
        <v>0</v>
      </c>
    </row>
    <row r="247" spans="2:49" ht="12.75" customHeight="1">
      <c r="B247" s="156" t="s">
        <v>977</v>
      </c>
      <c r="C247" s="283" t="s">
        <v>349</v>
      </c>
      <c r="D247" s="166">
        <v>180</v>
      </c>
      <c r="E247" s="192" t="s">
        <v>95</v>
      </c>
      <c r="F247" s="233">
        <v>10</v>
      </c>
      <c r="G247" s="193">
        <v>10</v>
      </c>
      <c r="H247" s="185" t="s">
        <v>221</v>
      </c>
      <c r="I247" s="233">
        <v>7.734</v>
      </c>
      <c r="J247" s="247">
        <v>6.4450000000000003</v>
      </c>
      <c r="K247" s="186" t="s">
        <v>94</v>
      </c>
      <c r="L247" s="233">
        <v>218</v>
      </c>
      <c r="M247" s="247">
        <v>218</v>
      </c>
      <c r="O247" s="1993" t="s">
        <v>92</v>
      </c>
      <c r="P247" s="1724">
        <f>F253+I250</f>
        <v>12.7</v>
      </c>
      <c r="Q247" s="1600">
        <f>G253+J250</f>
        <v>12.7</v>
      </c>
      <c r="R247" s="1724">
        <f>F272+L264+L270</f>
        <v>27.124999999999996</v>
      </c>
      <c r="S247" s="2085">
        <f>M264+M270+G272</f>
        <v>27.125</v>
      </c>
      <c r="T247" s="1724"/>
      <c r="U247" s="1600"/>
      <c r="V247" s="1724">
        <f t="shared" si="135"/>
        <v>39.824999999999996</v>
      </c>
      <c r="W247" s="1586">
        <f t="shared" si="136"/>
        <v>39.825000000000003</v>
      </c>
      <c r="X247" s="1724">
        <f t="shared" si="137"/>
        <v>27.124999999999996</v>
      </c>
      <c r="Y247" s="1585">
        <f t="shared" si="138"/>
        <v>27.125</v>
      </c>
      <c r="AA247" s="125" t="s">
        <v>72</v>
      </c>
      <c r="AB247" s="444"/>
      <c r="AC247" s="842"/>
      <c r="AD247" s="1789"/>
      <c r="AE247" s="1598"/>
      <c r="AF247" s="1789"/>
      <c r="AG247" s="1681"/>
      <c r="AH247" s="1789">
        <f t="shared" si="139"/>
        <v>0</v>
      </c>
      <c r="AI247" s="1586">
        <f t="shared" si="140"/>
        <v>0</v>
      </c>
      <c r="AJ247" s="1789">
        <f t="shared" si="141"/>
        <v>0</v>
      </c>
      <c r="AK247" s="1585">
        <f t="shared" si="142"/>
        <v>0</v>
      </c>
      <c r="AM247" s="1944" t="s">
        <v>164</v>
      </c>
      <c r="AN247" s="1743">
        <f t="shared" ref="AN247:AN280" si="143">P246+R246+T246</f>
        <v>150</v>
      </c>
      <c r="AO247" s="858">
        <f t="shared" ref="AO247:AO276" si="144">Q246+S246+U246</f>
        <v>150</v>
      </c>
      <c r="AP247" s="178" t="s">
        <v>70</v>
      </c>
      <c r="AQ247" s="1801">
        <f t="shared" ref="AQ247:AQ262" si="145">AB246+AD246+AF246</f>
        <v>0</v>
      </c>
      <c r="AR247" s="856">
        <f t="shared" ref="AR247:AR261" si="146">AC246+AE246+AG246</f>
        <v>0</v>
      </c>
    </row>
    <row r="248" spans="2:49">
      <c r="B248" s="303"/>
      <c r="C248" s="167" t="s">
        <v>348</v>
      </c>
      <c r="D248" s="425"/>
      <c r="E248" s="192" t="s">
        <v>227</v>
      </c>
      <c r="F248" s="467">
        <v>1.4E-2</v>
      </c>
      <c r="G248" s="963">
        <v>1.4E-2</v>
      </c>
      <c r="H248" s="185" t="s">
        <v>241</v>
      </c>
      <c r="I248" s="271" t="s">
        <v>984</v>
      </c>
      <c r="J248" s="235">
        <v>0.2</v>
      </c>
      <c r="K248" s="61"/>
      <c r="M248" s="71"/>
      <c r="O248" s="1996" t="s">
        <v>900</v>
      </c>
      <c r="P248" s="1725">
        <f t="shared" ref="P248:U248" si="147">AB283</f>
        <v>0</v>
      </c>
      <c r="Q248" s="1595">
        <f t="shared" si="147"/>
        <v>0</v>
      </c>
      <c r="R248" s="1725">
        <f t="shared" si="147"/>
        <v>0</v>
      </c>
      <c r="S248" s="1595">
        <f t="shared" si="147"/>
        <v>0</v>
      </c>
      <c r="T248" s="1725">
        <f t="shared" si="147"/>
        <v>0</v>
      </c>
      <c r="U248" s="1595">
        <f t="shared" si="147"/>
        <v>0</v>
      </c>
      <c r="V248" s="1725">
        <f>P248+R248</f>
        <v>0</v>
      </c>
      <c r="W248" s="1594">
        <f t="shared" si="136"/>
        <v>0</v>
      </c>
      <c r="X248" s="1725">
        <f t="shared" si="137"/>
        <v>0</v>
      </c>
      <c r="Y248" s="1820">
        <f t="shared" si="138"/>
        <v>0</v>
      </c>
      <c r="AA248" s="125" t="s">
        <v>74</v>
      </c>
      <c r="AB248" s="1789"/>
      <c r="AC248" s="843"/>
      <c r="AD248" s="1789"/>
      <c r="AE248" s="1598"/>
      <c r="AF248" s="1789"/>
      <c r="AG248" s="1681"/>
      <c r="AH248" s="1789">
        <f t="shared" si="139"/>
        <v>0</v>
      </c>
      <c r="AI248" s="1586">
        <f t="shared" si="140"/>
        <v>0</v>
      </c>
      <c r="AJ248" s="1789">
        <f t="shared" si="141"/>
        <v>0</v>
      </c>
      <c r="AK248" s="1585">
        <f t="shared" si="142"/>
        <v>0</v>
      </c>
      <c r="AM248" s="1993" t="s">
        <v>92</v>
      </c>
      <c r="AN248" s="1743">
        <f t="shared" si="143"/>
        <v>39.824999999999996</v>
      </c>
      <c r="AO248" s="858">
        <f t="shared" si="144"/>
        <v>39.825000000000003</v>
      </c>
      <c r="AP248" s="125" t="s">
        <v>72</v>
      </c>
      <c r="AQ248" s="1801">
        <f t="shared" si="145"/>
        <v>0</v>
      </c>
      <c r="AR248" s="856">
        <f t="shared" si="146"/>
        <v>0</v>
      </c>
    </row>
    <row r="249" spans="2:49">
      <c r="B249" s="1522" t="s">
        <v>827</v>
      </c>
      <c r="C249" s="283" t="s">
        <v>644</v>
      </c>
      <c r="D249" s="166">
        <v>200</v>
      </c>
      <c r="E249" s="340" t="s">
        <v>61</v>
      </c>
      <c r="F249" s="276">
        <v>1.4</v>
      </c>
      <c r="G249" s="275">
        <v>1.4</v>
      </c>
      <c r="H249" s="185" t="s">
        <v>61</v>
      </c>
      <c r="I249" s="233">
        <v>0.8</v>
      </c>
      <c r="J249" s="235">
        <v>0.8</v>
      </c>
      <c r="K249" s="61"/>
      <c r="M249" s="71"/>
      <c r="O249" s="1944" t="s">
        <v>123</v>
      </c>
      <c r="P249" s="1724"/>
      <c r="Q249" s="1569"/>
      <c r="R249" s="1724"/>
      <c r="S249" s="1569"/>
      <c r="T249" s="1724"/>
      <c r="U249" s="1569"/>
      <c r="V249" s="1724">
        <f t="shared" si="135"/>
        <v>0</v>
      </c>
      <c r="W249" s="1586">
        <f t="shared" si="136"/>
        <v>0</v>
      </c>
      <c r="X249" s="1724">
        <f t="shared" si="137"/>
        <v>0</v>
      </c>
      <c r="Y249" s="1585">
        <f t="shared" si="138"/>
        <v>0</v>
      </c>
      <c r="AA249" s="126" t="s">
        <v>112</v>
      </c>
      <c r="AB249" s="1789">
        <f>F254</f>
        <v>3.5</v>
      </c>
      <c r="AC249" s="1957">
        <f>G254</f>
        <v>3.5</v>
      </c>
      <c r="AD249" s="1969"/>
      <c r="AE249" s="1598"/>
      <c r="AF249" s="1789"/>
      <c r="AG249" s="1681"/>
      <c r="AH249" s="1789">
        <f t="shared" si="139"/>
        <v>3.5</v>
      </c>
      <c r="AI249" s="1586">
        <f t="shared" si="140"/>
        <v>3.5</v>
      </c>
      <c r="AJ249" s="1789">
        <f t="shared" si="141"/>
        <v>0</v>
      </c>
      <c r="AK249" s="1585">
        <f t="shared" si="142"/>
        <v>0</v>
      </c>
      <c r="AM249" s="1996" t="s">
        <v>900</v>
      </c>
      <c r="AN249" s="2076">
        <f t="shared" si="143"/>
        <v>0</v>
      </c>
      <c r="AO249" s="1594">
        <f t="shared" si="144"/>
        <v>0</v>
      </c>
      <c r="AP249" s="125" t="s">
        <v>74</v>
      </c>
      <c r="AQ249" s="1801">
        <f t="shared" si="145"/>
        <v>0</v>
      </c>
      <c r="AR249" s="856">
        <f t="shared" si="146"/>
        <v>0</v>
      </c>
    </row>
    <row r="250" spans="2:49" ht="15.75" thickBot="1">
      <c r="B250" s="246" t="s">
        <v>10</v>
      </c>
      <c r="C250" s="241" t="s">
        <v>11</v>
      </c>
      <c r="D250" s="239">
        <v>50</v>
      </c>
      <c r="E250" s="389" t="s">
        <v>634</v>
      </c>
      <c r="F250" s="276"/>
      <c r="G250" s="275">
        <v>1.56</v>
      </c>
      <c r="H250" s="390" t="s">
        <v>92</v>
      </c>
      <c r="I250" s="1070">
        <v>10</v>
      </c>
      <c r="J250" s="311">
        <v>10</v>
      </c>
      <c r="K250" s="61"/>
      <c r="M250" s="71"/>
      <c r="O250" s="560" t="s">
        <v>52</v>
      </c>
      <c r="P250" s="1724">
        <f>F244</f>
        <v>211</v>
      </c>
      <c r="Q250" s="1586">
        <f>G244</f>
        <v>157.9</v>
      </c>
      <c r="R250" s="1724">
        <f>F260+L261</f>
        <v>111.85</v>
      </c>
      <c r="S250" s="1600">
        <f>G260+M261</f>
        <v>83.710000000000008</v>
      </c>
      <c r="T250" s="1724"/>
      <c r="U250" s="1569"/>
      <c r="V250" s="1724">
        <f t="shared" si="135"/>
        <v>322.85000000000002</v>
      </c>
      <c r="W250" s="1586">
        <f t="shared" si="136"/>
        <v>241.61</v>
      </c>
      <c r="X250" s="1724">
        <f t="shared" si="137"/>
        <v>111.85</v>
      </c>
      <c r="Y250" s="1585">
        <f t="shared" si="138"/>
        <v>83.710000000000008</v>
      </c>
      <c r="AA250" s="125" t="s">
        <v>161</v>
      </c>
      <c r="AB250" s="1789"/>
      <c r="AC250" s="1957"/>
      <c r="AD250" s="1789"/>
      <c r="AE250" s="1598"/>
      <c r="AF250" s="1789"/>
      <c r="AG250" s="1681"/>
      <c r="AH250" s="1789">
        <f t="shared" si="139"/>
        <v>0</v>
      </c>
      <c r="AI250" s="1586">
        <f t="shared" si="140"/>
        <v>0</v>
      </c>
      <c r="AJ250" s="1789">
        <f t="shared" si="141"/>
        <v>0</v>
      </c>
      <c r="AK250" s="1585">
        <f t="shared" si="142"/>
        <v>0</v>
      </c>
      <c r="AM250" s="1944" t="s">
        <v>123</v>
      </c>
      <c r="AN250" s="1743">
        <f t="shared" si="143"/>
        <v>0</v>
      </c>
      <c r="AO250" s="858">
        <f t="shared" si="144"/>
        <v>0</v>
      </c>
      <c r="AP250" s="126" t="s">
        <v>112</v>
      </c>
      <c r="AQ250" s="1801">
        <f t="shared" si="145"/>
        <v>3.5</v>
      </c>
      <c r="AR250" s="856">
        <f t="shared" si="146"/>
        <v>3.5</v>
      </c>
    </row>
    <row r="251" spans="2:49" ht="15.75" thickBot="1">
      <c r="B251" s="246" t="s">
        <v>10</v>
      </c>
      <c r="C251" s="241" t="s">
        <v>792</v>
      </c>
      <c r="D251" s="239">
        <v>30</v>
      </c>
      <c r="E251" s="887" t="s">
        <v>110</v>
      </c>
      <c r="F251" s="233"/>
      <c r="G251" s="212"/>
      <c r="H251" s="185" t="s">
        <v>103</v>
      </c>
      <c r="I251" s="233">
        <v>4.2</v>
      </c>
      <c r="J251" s="235">
        <v>4.2</v>
      </c>
      <c r="K251" s="2518" t="s">
        <v>971</v>
      </c>
      <c r="L251" s="38"/>
      <c r="M251" s="50"/>
      <c r="O251" s="2016" t="s">
        <v>912</v>
      </c>
      <c r="P251" s="2050">
        <f t="shared" ref="P251:U251" si="148">AB260</f>
        <v>121.494</v>
      </c>
      <c r="Q251" s="1598">
        <f t="shared" si="148"/>
        <v>89.64500000000001</v>
      </c>
      <c r="R251" s="2086">
        <f t="shared" si="148"/>
        <v>113.9</v>
      </c>
      <c r="S251" s="1597">
        <f t="shared" si="148"/>
        <v>98</v>
      </c>
      <c r="T251" s="1726">
        <f t="shared" si="148"/>
        <v>12</v>
      </c>
      <c r="U251" s="1598">
        <f t="shared" si="148"/>
        <v>10</v>
      </c>
      <c r="V251" s="2050">
        <f>P251+R251</f>
        <v>235.39400000000001</v>
      </c>
      <c r="W251" s="1597">
        <f t="shared" si="136"/>
        <v>187.64500000000001</v>
      </c>
      <c r="X251" s="2086">
        <f>R251+T251</f>
        <v>125.9</v>
      </c>
      <c r="Y251" s="1975">
        <f t="shared" si="138"/>
        <v>108</v>
      </c>
      <c r="AA251" s="125" t="s">
        <v>155</v>
      </c>
      <c r="AB251" s="2083"/>
      <c r="AC251" s="1957"/>
      <c r="AD251" s="1789"/>
      <c r="AE251" s="1598"/>
      <c r="AF251" s="1789"/>
      <c r="AG251" s="1681"/>
      <c r="AH251" s="1789">
        <f t="shared" si="139"/>
        <v>0</v>
      </c>
      <c r="AI251" s="1586">
        <f t="shared" si="140"/>
        <v>0</v>
      </c>
      <c r="AJ251" s="1789">
        <f t="shared" si="141"/>
        <v>0</v>
      </c>
      <c r="AK251" s="1585">
        <f t="shared" si="142"/>
        <v>0</v>
      </c>
      <c r="AM251" s="495" t="s">
        <v>52</v>
      </c>
      <c r="AN251" s="1743">
        <f t="shared" si="143"/>
        <v>322.85000000000002</v>
      </c>
      <c r="AO251" s="858">
        <f t="shared" si="144"/>
        <v>241.61</v>
      </c>
      <c r="AP251" s="125" t="s">
        <v>161</v>
      </c>
      <c r="AQ251" s="1801">
        <f t="shared" si="145"/>
        <v>0</v>
      </c>
      <c r="AR251" s="856">
        <f t="shared" si="146"/>
        <v>0</v>
      </c>
    </row>
    <row r="252" spans="2:49" ht="14.25" customHeight="1" thickBot="1">
      <c r="B252" s="61"/>
      <c r="C252" s="999"/>
      <c r="D252" s="71"/>
      <c r="E252" s="192" t="s">
        <v>108</v>
      </c>
      <c r="F252" s="233">
        <v>8.75</v>
      </c>
      <c r="G252" s="193">
        <v>8.75</v>
      </c>
      <c r="H252" s="61"/>
      <c r="J252" s="71"/>
      <c r="K252" s="263" t="s">
        <v>118</v>
      </c>
      <c r="L252" s="97" t="s">
        <v>119</v>
      </c>
      <c r="M252" s="470" t="s">
        <v>120</v>
      </c>
      <c r="O252" s="1943" t="s">
        <v>901</v>
      </c>
      <c r="P252" s="1727">
        <f t="shared" ref="P252:U252" si="149">AB267</f>
        <v>3.75</v>
      </c>
      <c r="Q252" s="1586">
        <f t="shared" si="149"/>
        <v>3</v>
      </c>
      <c r="R252" s="1727">
        <f t="shared" si="149"/>
        <v>156.44999999999999</v>
      </c>
      <c r="S252" s="1569">
        <f t="shared" si="149"/>
        <v>105</v>
      </c>
      <c r="T252" s="1727">
        <f t="shared" si="149"/>
        <v>7.5</v>
      </c>
      <c r="U252" s="1569">
        <f t="shared" si="149"/>
        <v>7</v>
      </c>
      <c r="V252" s="1727">
        <f>P252+R252</f>
        <v>160.19999999999999</v>
      </c>
      <c r="W252" s="1586">
        <f t="shared" si="136"/>
        <v>108</v>
      </c>
      <c r="X252" s="1727">
        <f>R252+T252</f>
        <v>163.95</v>
      </c>
      <c r="Y252" s="1585">
        <f t="shared" si="138"/>
        <v>112</v>
      </c>
      <c r="AA252" s="125" t="s">
        <v>158</v>
      </c>
      <c r="AB252" s="1789">
        <f>L253</f>
        <v>69.42</v>
      </c>
      <c r="AC252" s="1959">
        <f>M253</f>
        <v>48.6</v>
      </c>
      <c r="AD252" s="1789"/>
      <c r="AE252" s="1598"/>
      <c r="AF252" s="1789"/>
      <c r="AG252" s="1681"/>
      <c r="AH252" s="1789">
        <f t="shared" si="139"/>
        <v>69.42</v>
      </c>
      <c r="AI252" s="1586">
        <f t="shared" si="140"/>
        <v>48.6</v>
      </c>
      <c r="AJ252" s="1789">
        <f t="shared" si="141"/>
        <v>0</v>
      </c>
      <c r="AK252" s="1585">
        <f t="shared" si="142"/>
        <v>0</v>
      </c>
      <c r="AM252" s="2016" t="s">
        <v>96</v>
      </c>
      <c r="AN252" s="2087">
        <f>P251+R251+T251</f>
        <v>247.39400000000001</v>
      </c>
      <c r="AO252" s="1597">
        <f t="shared" si="144"/>
        <v>197.64500000000001</v>
      </c>
      <c r="AP252" s="125" t="s">
        <v>155</v>
      </c>
      <c r="AQ252" s="1801">
        <f t="shared" si="145"/>
        <v>0</v>
      </c>
      <c r="AR252" s="856">
        <f t="shared" si="146"/>
        <v>0</v>
      </c>
    </row>
    <row r="253" spans="2:49" ht="12.75" customHeight="1">
      <c r="B253" s="61"/>
      <c r="C253" s="999"/>
      <c r="D253" s="71"/>
      <c r="E253" s="192" t="s">
        <v>111</v>
      </c>
      <c r="F253" s="233">
        <v>2.7</v>
      </c>
      <c r="G253" s="193">
        <v>2.7</v>
      </c>
      <c r="H253" s="61"/>
      <c r="J253" s="71"/>
      <c r="K253" s="758" t="s">
        <v>336</v>
      </c>
      <c r="L253" s="256">
        <v>69.42</v>
      </c>
      <c r="M253" s="257">
        <v>48.6</v>
      </c>
      <c r="O253" s="1947" t="s">
        <v>122</v>
      </c>
      <c r="P253" s="1727">
        <f>L243</f>
        <v>20</v>
      </c>
      <c r="Q253" s="1569">
        <f>M243</f>
        <v>20</v>
      </c>
      <c r="R253" s="1727"/>
      <c r="S253" s="1569"/>
      <c r="T253" s="1727"/>
      <c r="U253" s="1569"/>
      <c r="V253" s="1724">
        <f t="shared" si="135"/>
        <v>20</v>
      </c>
      <c r="W253" s="1586">
        <f t="shared" si="136"/>
        <v>20</v>
      </c>
      <c r="X253" s="1727">
        <f>R253+T253</f>
        <v>0</v>
      </c>
      <c r="Y253" s="1585">
        <f t="shared" si="138"/>
        <v>0</v>
      </c>
      <c r="AA253" s="125" t="s">
        <v>101</v>
      </c>
      <c r="AB253" s="1789">
        <f>F246+I247+L254</f>
        <v>23.514000000000003</v>
      </c>
      <c r="AC253" s="1959">
        <f>G246+J247+M254</f>
        <v>19.645</v>
      </c>
      <c r="AD253" s="1969">
        <f>F262+I267</f>
        <v>33.6</v>
      </c>
      <c r="AE253" s="1598">
        <f>G262+J267</f>
        <v>28</v>
      </c>
      <c r="AF253" s="1789">
        <f>F280</f>
        <v>12</v>
      </c>
      <c r="AG253" s="1681">
        <f>G280</f>
        <v>10</v>
      </c>
      <c r="AH253" s="1789">
        <f t="shared" si="139"/>
        <v>57.114000000000004</v>
      </c>
      <c r="AI253" s="1586">
        <f t="shared" si="140"/>
        <v>47.644999999999996</v>
      </c>
      <c r="AJ253" s="1789">
        <f t="shared" si="141"/>
        <v>45.6</v>
      </c>
      <c r="AK253" s="1585">
        <f t="shared" si="142"/>
        <v>38</v>
      </c>
      <c r="AM253" s="1943" t="s">
        <v>901</v>
      </c>
      <c r="AN253" s="1743">
        <f t="shared" si="143"/>
        <v>167.7</v>
      </c>
      <c r="AO253" s="858">
        <f t="shared" si="144"/>
        <v>115</v>
      </c>
      <c r="AP253" s="125" t="s">
        <v>158</v>
      </c>
      <c r="AQ253" s="1801">
        <f t="shared" si="145"/>
        <v>69.42</v>
      </c>
      <c r="AR253" s="856">
        <f t="shared" si="146"/>
        <v>48.6</v>
      </c>
    </row>
    <row r="254" spans="2:49" ht="14.25" customHeight="1">
      <c r="B254" s="61"/>
      <c r="C254" s="999"/>
      <c r="D254" s="71"/>
      <c r="E254" s="192" t="s">
        <v>112</v>
      </c>
      <c r="F254" s="233">
        <v>3.5</v>
      </c>
      <c r="G254" s="193">
        <v>3.5</v>
      </c>
      <c r="H254" s="61"/>
      <c r="J254" s="71"/>
      <c r="K254" s="185" t="s">
        <v>221</v>
      </c>
      <c r="L254" s="256">
        <v>7.14</v>
      </c>
      <c r="M254" s="257">
        <v>6</v>
      </c>
      <c r="O254" s="1993" t="s">
        <v>913</v>
      </c>
      <c r="P254" s="1724"/>
      <c r="Q254" s="1569"/>
      <c r="R254" s="1724">
        <f>D265</f>
        <v>200</v>
      </c>
      <c r="S254" s="1569">
        <f>D265</f>
        <v>200</v>
      </c>
      <c r="T254" s="1724"/>
      <c r="U254" s="1569"/>
      <c r="V254" s="1724">
        <f t="shared" si="135"/>
        <v>200</v>
      </c>
      <c r="W254" s="1586">
        <f t="shared" si="136"/>
        <v>200</v>
      </c>
      <c r="X254" s="1724">
        <f t="shared" si="137"/>
        <v>200</v>
      </c>
      <c r="Y254" s="1585">
        <f t="shared" si="138"/>
        <v>200</v>
      </c>
      <c r="AA254" s="125" t="s">
        <v>79</v>
      </c>
      <c r="AB254" s="1789">
        <f>F245</f>
        <v>25.06</v>
      </c>
      <c r="AC254" s="1957">
        <f>G245</f>
        <v>17.899999999999999</v>
      </c>
      <c r="AD254" s="1789">
        <f>F261</f>
        <v>12.5</v>
      </c>
      <c r="AE254" s="1598">
        <f>G261</f>
        <v>10</v>
      </c>
      <c r="AF254" s="1789"/>
      <c r="AG254" s="1681"/>
      <c r="AH254" s="1789">
        <f t="shared" si="139"/>
        <v>37.56</v>
      </c>
      <c r="AI254" s="1586">
        <f t="shared" si="140"/>
        <v>27.9</v>
      </c>
      <c r="AJ254" s="1789">
        <f t="shared" si="141"/>
        <v>12.5</v>
      </c>
      <c r="AK254" s="1585">
        <f t="shared" si="142"/>
        <v>10</v>
      </c>
      <c r="AM254" s="1947" t="s">
        <v>122</v>
      </c>
      <c r="AN254" s="1743">
        <f t="shared" si="143"/>
        <v>20</v>
      </c>
      <c r="AO254" s="858">
        <f t="shared" si="144"/>
        <v>20</v>
      </c>
      <c r="AP254" s="125" t="s">
        <v>101</v>
      </c>
      <c r="AQ254" s="1801">
        <f t="shared" si="145"/>
        <v>69.114000000000004</v>
      </c>
      <c r="AR254" s="856">
        <f t="shared" si="146"/>
        <v>57.644999999999996</v>
      </c>
    </row>
    <row r="255" spans="2:49" ht="14.25" customHeight="1">
      <c r="B255" s="61"/>
      <c r="C255" s="999"/>
      <c r="D255" s="71"/>
      <c r="E255" s="192" t="s">
        <v>94</v>
      </c>
      <c r="F255" s="233">
        <v>27</v>
      </c>
      <c r="G255" s="193">
        <v>27</v>
      </c>
      <c r="H255" s="2527"/>
      <c r="J255" s="71"/>
      <c r="K255" s="185" t="s">
        <v>57</v>
      </c>
      <c r="L255" s="233">
        <v>3</v>
      </c>
      <c r="M255" s="235">
        <v>3</v>
      </c>
      <c r="O255" s="560" t="s">
        <v>895</v>
      </c>
      <c r="P255" s="1724">
        <f t="shared" ref="P255:U255" si="150">AB270</f>
        <v>62.48</v>
      </c>
      <c r="Q255" s="1569">
        <f t="shared" si="150"/>
        <v>53.1</v>
      </c>
      <c r="R255" s="1724">
        <f t="shared" si="150"/>
        <v>0</v>
      </c>
      <c r="S255" s="1569">
        <f t="shared" si="150"/>
        <v>0</v>
      </c>
      <c r="T255" s="1724">
        <f t="shared" si="150"/>
        <v>55.3</v>
      </c>
      <c r="U255" s="1569">
        <f t="shared" si="150"/>
        <v>47.01</v>
      </c>
      <c r="V255" s="1724">
        <f t="shared" si="135"/>
        <v>62.48</v>
      </c>
      <c r="W255" s="1586">
        <f t="shared" si="136"/>
        <v>53.1</v>
      </c>
      <c r="X255" s="1724">
        <f t="shared" si="137"/>
        <v>55.3</v>
      </c>
      <c r="Y255" s="1585">
        <f t="shared" si="138"/>
        <v>47.01</v>
      </c>
      <c r="AA255" s="125" t="s">
        <v>86</v>
      </c>
      <c r="AB255" s="1789"/>
      <c r="AC255" s="1960"/>
      <c r="AD255" s="1789"/>
      <c r="AE255" s="1598"/>
      <c r="AF255" s="1789"/>
      <c r="AG255" s="1681"/>
      <c r="AH255" s="1789">
        <f t="shared" si="139"/>
        <v>0</v>
      </c>
      <c r="AI255" s="1586">
        <f t="shared" si="140"/>
        <v>0</v>
      </c>
      <c r="AJ255" s="1789">
        <f t="shared" si="141"/>
        <v>0</v>
      </c>
      <c r="AK255" s="1585">
        <f t="shared" si="142"/>
        <v>0</v>
      </c>
      <c r="AM255" s="1993" t="s">
        <v>163</v>
      </c>
      <c r="AN255" s="1743">
        <f t="shared" si="143"/>
        <v>200</v>
      </c>
      <c r="AO255" s="858">
        <f t="shared" si="144"/>
        <v>200</v>
      </c>
      <c r="AP255" s="125" t="s">
        <v>79</v>
      </c>
      <c r="AQ255" s="1801">
        <f t="shared" si="145"/>
        <v>37.56</v>
      </c>
      <c r="AR255" s="856">
        <f t="shared" si="146"/>
        <v>27.9</v>
      </c>
    </row>
    <row r="256" spans="2:49" ht="13.5" customHeight="1">
      <c r="B256" s="61"/>
      <c r="C256" s="999"/>
      <c r="D256" s="71"/>
      <c r="E256" s="192" t="s">
        <v>227</v>
      </c>
      <c r="F256" s="467">
        <v>7.2000000000000005E-4</v>
      </c>
      <c r="G256" s="963">
        <v>7.2000000000000005E-4</v>
      </c>
      <c r="H256" s="61"/>
      <c r="J256" s="71"/>
      <c r="K256" s="186" t="s">
        <v>103</v>
      </c>
      <c r="L256" s="276">
        <v>3</v>
      </c>
      <c r="M256" s="269">
        <v>3</v>
      </c>
      <c r="O256" s="1944" t="s">
        <v>894</v>
      </c>
      <c r="P256" s="1724">
        <f t="shared" ref="P256:U256" si="151">AB274</f>
        <v>30.231000000000002</v>
      </c>
      <c r="Q256" s="1586">
        <f t="shared" si="151"/>
        <v>26.9</v>
      </c>
      <c r="R256" s="1724">
        <f t="shared" si="151"/>
        <v>2.9449999999999998</v>
      </c>
      <c r="S256" s="1586">
        <f t="shared" si="151"/>
        <v>2.5</v>
      </c>
      <c r="T256" s="1724">
        <f t="shared" si="151"/>
        <v>32.96</v>
      </c>
      <c r="U256" s="1586">
        <f t="shared" si="151"/>
        <v>29.32</v>
      </c>
      <c r="V256" s="1724">
        <f t="shared" si="135"/>
        <v>33.176000000000002</v>
      </c>
      <c r="W256" s="1586">
        <f t="shared" si="136"/>
        <v>29.4</v>
      </c>
      <c r="X256" s="1724">
        <f t="shared" si="137"/>
        <v>35.905000000000001</v>
      </c>
      <c r="Y256" s="1585">
        <f t="shared" si="138"/>
        <v>31.82</v>
      </c>
      <c r="AA256" s="125" t="s">
        <v>160</v>
      </c>
      <c r="AB256" s="1789"/>
      <c r="AC256" s="1961"/>
      <c r="AD256" s="1789">
        <f>I260</f>
        <v>67.8</v>
      </c>
      <c r="AE256" s="1598">
        <f>J260</f>
        <v>60</v>
      </c>
      <c r="AF256" s="1789"/>
      <c r="AG256" s="1681"/>
      <c r="AH256" s="1789">
        <f t="shared" si="139"/>
        <v>67.8</v>
      </c>
      <c r="AI256" s="1586">
        <f t="shared" si="140"/>
        <v>60</v>
      </c>
      <c r="AJ256" s="1789">
        <f t="shared" si="141"/>
        <v>67.8</v>
      </c>
      <c r="AK256" s="1585">
        <f t="shared" si="142"/>
        <v>60</v>
      </c>
      <c r="AM256" s="560" t="s">
        <v>895</v>
      </c>
      <c r="AN256" s="1743">
        <f t="shared" si="143"/>
        <v>117.78</v>
      </c>
      <c r="AO256" s="858">
        <f t="shared" si="144"/>
        <v>100.11</v>
      </c>
      <c r="AP256" s="125" t="s">
        <v>86</v>
      </c>
      <c r="AQ256" s="1801">
        <f t="shared" si="145"/>
        <v>0</v>
      </c>
      <c r="AR256" s="856">
        <f t="shared" si="146"/>
        <v>0</v>
      </c>
    </row>
    <row r="257" spans="2:44" ht="14.25" customHeight="1" thickBot="1">
      <c r="B257" s="1139" t="s">
        <v>582</v>
      </c>
      <c r="C257" s="1136"/>
      <c r="D257" s="1137">
        <f>SUM(D244:D256)</f>
        <v>620</v>
      </c>
      <c r="E257" s="824" t="s">
        <v>61</v>
      </c>
      <c r="F257" s="200">
        <v>0.36</v>
      </c>
      <c r="G257" s="327">
        <v>0.36</v>
      </c>
      <c r="H257" s="61"/>
      <c r="J257" s="71"/>
      <c r="K257" s="57"/>
      <c r="L257" s="29"/>
      <c r="M257" s="74"/>
      <c r="O257" s="1944" t="s">
        <v>150</v>
      </c>
      <c r="P257" s="1724"/>
      <c r="Q257" s="1586"/>
      <c r="R257" s="1724">
        <f>I265</f>
        <v>119.52</v>
      </c>
      <c r="S257" s="1569">
        <f>J265</f>
        <v>82.67</v>
      </c>
      <c r="T257" s="1727"/>
      <c r="U257" s="1569"/>
      <c r="V257" s="1724">
        <f t="shared" si="135"/>
        <v>119.52</v>
      </c>
      <c r="W257" s="1586">
        <f t="shared" si="136"/>
        <v>82.67</v>
      </c>
      <c r="X257" s="1724">
        <f t="shared" si="137"/>
        <v>119.52</v>
      </c>
      <c r="Y257" s="1585">
        <f t="shared" si="138"/>
        <v>82.67</v>
      </c>
      <c r="AA257" s="125" t="s">
        <v>157</v>
      </c>
      <c r="AB257" s="2048"/>
      <c r="AC257" s="1961"/>
      <c r="AD257" s="1969"/>
      <c r="AE257" s="1598"/>
      <c r="AF257" s="1789"/>
      <c r="AG257" s="1681"/>
      <c r="AH257" s="1789">
        <f t="shared" si="139"/>
        <v>0</v>
      </c>
      <c r="AI257" s="1586">
        <f t="shared" si="140"/>
        <v>0</v>
      </c>
      <c r="AJ257" s="1789">
        <f t="shared" si="141"/>
        <v>0</v>
      </c>
      <c r="AK257" s="1585">
        <f t="shared" si="142"/>
        <v>0</v>
      </c>
      <c r="AM257" s="1944" t="s">
        <v>894</v>
      </c>
      <c r="AN257" s="1743">
        <f>P256+R256+T256</f>
        <v>66.135999999999996</v>
      </c>
      <c r="AO257" s="858">
        <f t="shared" si="144"/>
        <v>58.72</v>
      </c>
      <c r="AP257" s="125" t="s">
        <v>160</v>
      </c>
      <c r="AQ257" s="1801">
        <f t="shared" si="145"/>
        <v>67.8</v>
      </c>
      <c r="AR257" s="856">
        <f t="shared" si="146"/>
        <v>60</v>
      </c>
    </row>
    <row r="258" spans="2:44" ht="15.75" thickBot="1">
      <c r="B258" s="403"/>
      <c r="C258" s="162" t="s">
        <v>152</v>
      </c>
      <c r="D258" s="54"/>
      <c r="E258" s="813" t="s">
        <v>207</v>
      </c>
      <c r="F258" s="38"/>
      <c r="G258" s="50"/>
      <c r="H258" s="1091" t="s">
        <v>365</v>
      </c>
      <c r="I258" s="38"/>
      <c r="J258" s="50"/>
      <c r="K258" s="828" t="s">
        <v>386</v>
      </c>
      <c r="L258" s="506"/>
      <c r="M258" s="507"/>
      <c r="O258" s="1944" t="s">
        <v>75</v>
      </c>
      <c r="P258" s="1724"/>
      <c r="Q258" s="1569"/>
      <c r="R258" s="1724"/>
      <c r="S258" s="1569"/>
      <c r="T258" s="1724"/>
      <c r="U258" s="1569"/>
      <c r="V258" s="1724">
        <f t="shared" si="135"/>
        <v>0</v>
      </c>
      <c r="W258" s="1586">
        <f t="shared" si="136"/>
        <v>0</v>
      </c>
      <c r="X258" s="1724">
        <f t="shared" si="137"/>
        <v>0</v>
      </c>
      <c r="Y258" s="1585">
        <f t="shared" si="138"/>
        <v>0</v>
      </c>
      <c r="AA258" s="125" t="s">
        <v>156</v>
      </c>
      <c r="AB258" s="444"/>
      <c r="AC258" s="1960"/>
      <c r="AD258" s="1789"/>
      <c r="AE258" s="1598"/>
      <c r="AF258" s="1789"/>
      <c r="AG258" s="1681"/>
      <c r="AH258" s="1789">
        <f t="shared" si="139"/>
        <v>0</v>
      </c>
      <c r="AI258" s="1586">
        <f t="shared" si="140"/>
        <v>0</v>
      </c>
      <c r="AJ258" s="1789">
        <f t="shared" si="141"/>
        <v>0</v>
      </c>
      <c r="AK258" s="1585">
        <f t="shared" si="142"/>
        <v>0</v>
      </c>
      <c r="AM258" s="1944" t="s">
        <v>150</v>
      </c>
      <c r="AN258" s="1743">
        <f t="shared" si="143"/>
        <v>119.52</v>
      </c>
      <c r="AO258" s="858">
        <f t="shared" si="144"/>
        <v>82.67</v>
      </c>
      <c r="AP258" s="125" t="s">
        <v>157</v>
      </c>
      <c r="AQ258" s="1801">
        <f t="shared" si="145"/>
        <v>0</v>
      </c>
      <c r="AR258" s="856">
        <f t="shared" si="146"/>
        <v>0</v>
      </c>
    </row>
    <row r="259" spans="2:44" ht="14.25" customHeight="1" thickBot="1">
      <c r="B259" s="1211" t="s">
        <v>645</v>
      </c>
      <c r="C259" s="283" t="s">
        <v>590</v>
      </c>
      <c r="D259" s="328">
        <v>60</v>
      </c>
      <c r="E259" s="313" t="s">
        <v>118</v>
      </c>
      <c r="F259" s="97" t="s">
        <v>119</v>
      </c>
      <c r="G259" s="135" t="s">
        <v>120</v>
      </c>
      <c r="H259" s="263" t="s">
        <v>118</v>
      </c>
      <c r="I259" s="97" t="s">
        <v>119</v>
      </c>
      <c r="J259" s="470" t="s">
        <v>120</v>
      </c>
      <c r="K259" s="912" t="s">
        <v>591</v>
      </c>
      <c r="L259" s="508"/>
      <c r="M259" s="509"/>
      <c r="O259" s="1049" t="s">
        <v>68</v>
      </c>
      <c r="P259" s="1724">
        <f>I246</f>
        <v>12.36</v>
      </c>
      <c r="Q259" s="1586">
        <f>J246</f>
        <v>12.36</v>
      </c>
      <c r="R259" s="1970">
        <f>F269+I266</f>
        <v>66.900000000000006</v>
      </c>
      <c r="S259" s="2021">
        <f>J266+G269</f>
        <v>66.900000000000006</v>
      </c>
      <c r="T259" s="1724">
        <f>F279</f>
        <v>7.85</v>
      </c>
      <c r="U259" s="1586">
        <f>G279</f>
        <v>7.85</v>
      </c>
      <c r="V259" s="1724">
        <f t="shared" si="135"/>
        <v>79.260000000000005</v>
      </c>
      <c r="W259" s="1586">
        <f t="shared" si="136"/>
        <v>79.260000000000005</v>
      </c>
      <c r="X259" s="1724">
        <f t="shared" si="137"/>
        <v>74.75</v>
      </c>
      <c r="Y259" s="1585">
        <f t="shared" si="138"/>
        <v>74.75</v>
      </c>
      <c r="AA259" s="2088" t="s">
        <v>545</v>
      </c>
      <c r="AB259" s="1779"/>
      <c r="AC259" s="2024"/>
      <c r="AD259" s="1790"/>
      <c r="AE259" s="2005"/>
      <c r="AF259" s="1790"/>
      <c r="AG259" s="2006"/>
      <c r="AH259" s="1790">
        <f t="shared" si="139"/>
        <v>0</v>
      </c>
      <c r="AI259" s="1590">
        <f t="shared" si="140"/>
        <v>0</v>
      </c>
      <c r="AJ259" s="1790">
        <f t="shared" si="141"/>
        <v>0</v>
      </c>
      <c r="AK259" s="1814">
        <f t="shared" si="142"/>
        <v>0</v>
      </c>
      <c r="AM259" s="1944" t="s">
        <v>75</v>
      </c>
      <c r="AN259" s="1743">
        <f t="shared" si="143"/>
        <v>0</v>
      </c>
      <c r="AO259" s="858">
        <f t="shared" si="144"/>
        <v>0</v>
      </c>
      <c r="AP259" s="125" t="s">
        <v>156</v>
      </c>
      <c r="AQ259" s="1801">
        <f t="shared" si="145"/>
        <v>0</v>
      </c>
      <c r="AR259" s="856">
        <f t="shared" si="146"/>
        <v>0</v>
      </c>
    </row>
    <row r="260" spans="2:44" ht="15" customHeight="1" thickBot="1">
      <c r="B260" s="1522" t="s">
        <v>828</v>
      </c>
      <c r="C260" s="241" t="s">
        <v>194</v>
      </c>
      <c r="D260" s="419">
        <v>250</v>
      </c>
      <c r="E260" s="100" t="s">
        <v>239</v>
      </c>
      <c r="F260" s="123">
        <v>56.1</v>
      </c>
      <c r="G260" s="264">
        <v>42</v>
      </c>
      <c r="H260" s="100" t="s">
        <v>189</v>
      </c>
      <c r="I260" s="123">
        <v>67.8</v>
      </c>
      <c r="J260" s="735">
        <v>60</v>
      </c>
      <c r="K260" s="313" t="s">
        <v>118</v>
      </c>
      <c r="L260" s="97" t="s">
        <v>119</v>
      </c>
      <c r="M260" s="135" t="s">
        <v>120</v>
      </c>
      <c r="O260" s="1049" t="s">
        <v>170</v>
      </c>
      <c r="P260" s="1724"/>
      <c r="Q260" s="1569"/>
      <c r="R260" s="1724"/>
      <c r="S260" s="1569"/>
      <c r="T260" s="1724"/>
      <c r="U260" s="1569"/>
      <c r="V260" s="1724">
        <f t="shared" si="135"/>
        <v>0</v>
      </c>
      <c r="W260" s="1586">
        <f t="shared" si="136"/>
        <v>0</v>
      </c>
      <c r="X260" s="1724">
        <f t="shared" si="137"/>
        <v>0</v>
      </c>
      <c r="Y260" s="1585">
        <f t="shared" si="138"/>
        <v>0</v>
      </c>
      <c r="AA260" s="2013" t="s">
        <v>96</v>
      </c>
      <c r="AB260" s="2084">
        <f t="shared" ref="AB260:AG260" si="152">SUM(AB245:AB259)</f>
        <v>121.494</v>
      </c>
      <c r="AC260" s="2049">
        <f t="shared" si="152"/>
        <v>89.64500000000001</v>
      </c>
      <c r="AD260" s="1964">
        <f t="shared" si="152"/>
        <v>113.9</v>
      </c>
      <c r="AE260" s="2012">
        <f t="shared" si="152"/>
        <v>98</v>
      </c>
      <c r="AF260" s="1964">
        <f t="shared" si="152"/>
        <v>12</v>
      </c>
      <c r="AG260" s="2012">
        <f t="shared" si="152"/>
        <v>10</v>
      </c>
      <c r="AH260" s="1964">
        <f>AB260+AD260</f>
        <v>235.39400000000001</v>
      </c>
      <c r="AI260" s="2015">
        <f t="shared" si="140"/>
        <v>187.64500000000001</v>
      </c>
      <c r="AJ260" s="1964">
        <f>AD260+AF260</f>
        <v>125.9</v>
      </c>
      <c r="AK260" s="1717">
        <f t="shared" si="142"/>
        <v>108</v>
      </c>
      <c r="AM260" s="1944" t="s">
        <v>68</v>
      </c>
      <c r="AN260" s="1743">
        <f t="shared" si="143"/>
        <v>87.11</v>
      </c>
      <c r="AO260" s="858">
        <f t="shared" si="144"/>
        <v>87.11</v>
      </c>
      <c r="AP260" s="125" t="s">
        <v>545</v>
      </c>
      <c r="AQ260" s="1801">
        <f>AB259+AD259+AF259</f>
        <v>0</v>
      </c>
      <c r="AR260" s="856">
        <f t="shared" si="146"/>
        <v>0</v>
      </c>
    </row>
    <row r="261" spans="2:44" ht="15.75" thickBot="1">
      <c r="B261" s="478" t="s">
        <v>433</v>
      </c>
      <c r="C261" s="283" t="s">
        <v>431</v>
      </c>
      <c r="D261" s="328">
        <v>100</v>
      </c>
      <c r="E261" s="185" t="s">
        <v>109</v>
      </c>
      <c r="F261" s="233">
        <v>12.5</v>
      </c>
      <c r="G261" s="235">
        <v>10</v>
      </c>
      <c r="K261" s="390" t="s">
        <v>314</v>
      </c>
      <c r="L261" s="1070">
        <v>55.75</v>
      </c>
      <c r="M261" s="1214">
        <v>41.71</v>
      </c>
      <c r="O261" s="1049" t="s">
        <v>73</v>
      </c>
      <c r="P261" s="1724"/>
      <c r="Q261" s="1587"/>
      <c r="R261" s="1724">
        <f>L262</f>
        <v>128.1</v>
      </c>
      <c r="S261" s="1587">
        <f>M262</f>
        <v>126</v>
      </c>
      <c r="T261" s="1727"/>
      <c r="U261" s="1587"/>
      <c r="V261" s="1724">
        <f t="shared" si="135"/>
        <v>128.1</v>
      </c>
      <c r="W261" s="1586">
        <f t="shared" si="136"/>
        <v>126</v>
      </c>
      <c r="X261" s="1724">
        <f t="shared" si="137"/>
        <v>128.1</v>
      </c>
      <c r="Y261" s="1585">
        <f t="shared" si="138"/>
        <v>126</v>
      </c>
      <c r="AA261" s="2008" t="s">
        <v>166</v>
      </c>
      <c r="AB261" s="2051">
        <f>F245+F246+F254+I247+L253+L254</f>
        <v>121.49400000000001</v>
      </c>
      <c r="AC261" s="1714">
        <f>G245+G246+G254+J247+M253+M254</f>
        <v>89.64500000000001</v>
      </c>
      <c r="AD261" s="2053">
        <f>F261+F262+I260+I267</f>
        <v>113.9</v>
      </c>
      <c r="AE261" s="2009">
        <f>G261+G262+J267+J260</f>
        <v>98</v>
      </c>
      <c r="AF261" s="1778"/>
      <c r="AG261" s="2009"/>
      <c r="AH261" s="1788">
        <f t="shared" ref="AH261" si="153">AB261+AD261</f>
        <v>235.39400000000001</v>
      </c>
      <c r="AI261" s="2010"/>
      <c r="AJ261" s="1788">
        <f t="shared" ref="AJ261" si="154">AD261+AF261</f>
        <v>113.9</v>
      </c>
      <c r="AK261" s="2011"/>
      <c r="AM261" s="1944" t="s">
        <v>170</v>
      </c>
      <c r="AN261" s="1743">
        <f t="shared" si="143"/>
        <v>0</v>
      </c>
      <c r="AO261" s="857">
        <f t="shared" si="144"/>
        <v>0</v>
      </c>
      <c r="AP261" s="180" t="s">
        <v>96</v>
      </c>
      <c r="AQ261" s="1801">
        <f>AB260+AD260+AF260</f>
        <v>247.39400000000001</v>
      </c>
      <c r="AR261" s="856">
        <f t="shared" si="146"/>
        <v>197.64500000000001</v>
      </c>
    </row>
    <row r="262" spans="2:44">
      <c r="B262" s="168"/>
      <c r="C262" s="1100" t="s">
        <v>432</v>
      </c>
      <c r="D262" s="11"/>
      <c r="E262" s="185" t="s">
        <v>236</v>
      </c>
      <c r="F262" s="234">
        <v>12</v>
      </c>
      <c r="G262" s="308">
        <v>10</v>
      </c>
      <c r="H262" s="501" t="s">
        <v>431</v>
      </c>
      <c r="I262" s="86"/>
      <c r="J262" s="86"/>
      <c r="K262" s="185" t="s">
        <v>106</v>
      </c>
      <c r="L262" s="233">
        <v>128.1</v>
      </c>
      <c r="M262" s="235">
        <v>126</v>
      </c>
      <c r="N262" s="91"/>
      <c r="O262" s="1049" t="s">
        <v>54</v>
      </c>
      <c r="P262" s="1724"/>
      <c r="Q262" s="1587"/>
      <c r="R262" s="1966"/>
      <c r="S262" s="1587"/>
      <c r="T262" s="1724"/>
      <c r="U262" s="1587"/>
      <c r="V262" s="1724">
        <f t="shared" si="135"/>
        <v>0</v>
      </c>
      <c r="W262" s="1586">
        <f t="shared" si="136"/>
        <v>0</v>
      </c>
      <c r="X262" s="1724">
        <f t="shared" si="137"/>
        <v>0</v>
      </c>
      <c r="Y262" s="1585">
        <f t="shared" si="138"/>
        <v>0</v>
      </c>
      <c r="AA262" s="1872" t="s">
        <v>878</v>
      </c>
      <c r="AB262" s="1781"/>
      <c r="AC262" s="1641"/>
      <c r="AD262" s="444"/>
      <c r="AE262" s="1585"/>
      <c r="AF262" s="444"/>
      <c r="AG262" s="1757"/>
      <c r="AH262" s="1789"/>
      <c r="AI262" s="1766"/>
      <c r="AJ262" s="1789"/>
      <c r="AK262" s="1645"/>
      <c r="AM262" s="1944" t="s">
        <v>73</v>
      </c>
      <c r="AN262" s="1743">
        <f t="shared" si="143"/>
        <v>128.1</v>
      </c>
      <c r="AO262" s="857">
        <f t="shared" si="144"/>
        <v>126</v>
      </c>
      <c r="AP262" s="514" t="s">
        <v>166</v>
      </c>
      <c r="AQ262" s="1801">
        <f t="shared" si="145"/>
        <v>235.39400000000001</v>
      </c>
      <c r="AR262" s="839"/>
    </row>
    <row r="263" spans="2:44" ht="15.75" thickBot="1">
      <c r="B263" s="156" t="s">
        <v>490</v>
      </c>
      <c r="C263" s="283" t="s">
        <v>386</v>
      </c>
      <c r="D263" s="913" t="s">
        <v>646</v>
      </c>
      <c r="E263" s="185" t="s">
        <v>95</v>
      </c>
      <c r="F263" s="233">
        <v>5</v>
      </c>
      <c r="G263" s="411">
        <v>5</v>
      </c>
      <c r="H263" s="859" t="s">
        <v>432</v>
      </c>
      <c r="I263" s="104"/>
      <c r="J263" s="104"/>
      <c r="K263" s="185" t="s">
        <v>241</v>
      </c>
      <c r="L263" s="271" t="s">
        <v>978</v>
      </c>
      <c r="M263" s="235">
        <v>6.2</v>
      </c>
      <c r="N263" s="4"/>
      <c r="O263" s="1049" t="s">
        <v>78</v>
      </c>
      <c r="P263" s="1966">
        <f>F252</f>
        <v>8.75</v>
      </c>
      <c r="Q263" s="2080">
        <f>G252</f>
        <v>8.75</v>
      </c>
      <c r="R263" s="1724">
        <f>L269</f>
        <v>8.75</v>
      </c>
      <c r="S263" s="1587">
        <f>M269</f>
        <v>8.75</v>
      </c>
      <c r="T263" s="1724"/>
      <c r="U263" s="1587"/>
      <c r="V263" s="1724">
        <f t="shared" si="135"/>
        <v>17.5</v>
      </c>
      <c r="W263" s="1586">
        <f t="shared" si="136"/>
        <v>17.5</v>
      </c>
      <c r="X263" s="1724">
        <f t="shared" si="137"/>
        <v>8.75</v>
      </c>
      <c r="Y263" s="1585">
        <f t="shared" si="138"/>
        <v>8.75</v>
      </c>
      <c r="AA263" s="1873" t="s">
        <v>879</v>
      </c>
      <c r="AB263" s="1777">
        <f>L245</f>
        <v>3.75</v>
      </c>
      <c r="AC263" s="1878">
        <f>M245</f>
        <v>3</v>
      </c>
      <c r="AD263" s="1680"/>
      <c r="AE263" s="1882"/>
      <c r="AF263" s="1789"/>
      <c r="AG263" s="1886"/>
      <c r="AH263" s="1789">
        <f t="shared" ref="AH263:AH267" si="155">AB263+AD263</f>
        <v>3.75</v>
      </c>
      <c r="AI263" s="1890">
        <f>AC263+AE263</f>
        <v>3</v>
      </c>
      <c r="AJ263" s="1789">
        <f t="shared" ref="AJ263:AJ267" si="156">AD263+AF263</f>
        <v>0</v>
      </c>
      <c r="AK263" s="1893">
        <f>AE263+AG263</f>
        <v>0</v>
      </c>
      <c r="AM263" s="1944" t="s">
        <v>54</v>
      </c>
      <c r="AN263" s="1743">
        <f t="shared" si="143"/>
        <v>0</v>
      </c>
      <c r="AO263" s="857">
        <f t="shared" si="144"/>
        <v>0</v>
      </c>
      <c r="AP263" s="1659" t="s">
        <v>878</v>
      </c>
      <c r="AQ263" s="1830">
        <f>AB262+AD262+AF262</f>
        <v>0</v>
      </c>
      <c r="AR263" s="1048">
        <f>AC262+AE262+AG262</f>
        <v>0</v>
      </c>
    </row>
    <row r="264" spans="2:44" ht="15.75" thickBot="1">
      <c r="B264" s="359" t="s">
        <v>829</v>
      </c>
      <c r="C264" s="167" t="s">
        <v>591</v>
      </c>
      <c r="D264" s="11"/>
      <c r="E264" s="270" t="s">
        <v>97</v>
      </c>
      <c r="F264" s="272">
        <v>1.1000000000000001</v>
      </c>
      <c r="G264" s="736">
        <v>1.1000000000000001</v>
      </c>
      <c r="H264" s="263" t="s">
        <v>118</v>
      </c>
      <c r="I264" s="97" t="s">
        <v>119</v>
      </c>
      <c r="J264" s="292" t="s">
        <v>120</v>
      </c>
      <c r="K264" s="185" t="s">
        <v>111</v>
      </c>
      <c r="L264" s="233">
        <v>4.4749999999999996</v>
      </c>
      <c r="M264" s="235">
        <v>4.4749999999999996</v>
      </c>
      <c r="N264" s="4"/>
      <c r="O264" s="1049" t="s">
        <v>95</v>
      </c>
      <c r="P264" s="1966">
        <f>F247</f>
        <v>10</v>
      </c>
      <c r="Q264" s="1586">
        <f>G247</f>
        <v>10</v>
      </c>
      <c r="R264" s="1724">
        <f>F263+F270+I268+L266</f>
        <v>22.08</v>
      </c>
      <c r="S264" s="1586">
        <f>G263+M266+G270+J268</f>
        <v>22.08</v>
      </c>
      <c r="T264" s="1724"/>
      <c r="U264" s="1586"/>
      <c r="V264" s="1724">
        <f t="shared" si="135"/>
        <v>32.08</v>
      </c>
      <c r="W264" s="1586">
        <f t="shared" si="136"/>
        <v>32.08</v>
      </c>
      <c r="X264" s="1724">
        <f t="shared" si="137"/>
        <v>22.08</v>
      </c>
      <c r="Y264" s="1585">
        <f t="shared" si="138"/>
        <v>22.08</v>
      </c>
      <c r="AA264" s="1874" t="s">
        <v>880</v>
      </c>
      <c r="AB264" s="1782"/>
      <c r="AC264" s="1879"/>
      <c r="AD264" s="444"/>
      <c r="AE264" s="1883"/>
      <c r="AF264" s="1793"/>
      <c r="AG264" s="1887"/>
      <c r="AH264" s="1789">
        <f t="shared" si="155"/>
        <v>0</v>
      </c>
      <c r="AI264" s="1890">
        <f>AC264+AE264</f>
        <v>0</v>
      </c>
      <c r="AJ264" s="1789">
        <f t="shared" si="156"/>
        <v>0</v>
      </c>
      <c r="AK264" s="1893">
        <f>AE264+AG264</f>
        <v>0</v>
      </c>
      <c r="AM264" s="1944" t="s">
        <v>78</v>
      </c>
      <c r="AN264" s="1743">
        <f t="shared" si="143"/>
        <v>17.5</v>
      </c>
      <c r="AO264" s="857">
        <f t="shared" si="144"/>
        <v>17.5</v>
      </c>
      <c r="AP264" s="1660" t="s">
        <v>879</v>
      </c>
      <c r="AQ264" s="1840">
        <f>AB263+AD263+AF263</f>
        <v>3.75</v>
      </c>
      <c r="AR264" s="1667">
        <f>AC263+AE263+AG263</f>
        <v>3</v>
      </c>
    </row>
    <row r="265" spans="2:44">
      <c r="B265" s="246" t="s">
        <v>9</v>
      </c>
      <c r="C265" s="241" t="s">
        <v>587</v>
      </c>
      <c r="D265" s="166">
        <v>200</v>
      </c>
      <c r="E265" s="270" t="s">
        <v>222</v>
      </c>
      <c r="F265" s="233">
        <v>0.01</v>
      </c>
      <c r="G265" s="411">
        <v>0.01</v>
      </c>
      <c r="H265" s="100" t="s">
        <v>150</v>
      </c>
      <c r="I265" s="177">
        <v>119.52</v>
      </c>
      <c r="J265" s="264">
        <v>82.67</v>
      </c>
      <c r="K265" s="185" t="s">
        <v>620</v>
      </c>
      <c r="L265" s="233">
        <v>4.4000000000000004</v>
      </c>
      <c r="M265" s="235">
        <v>4.4000000000000004</v>
      </c>
      <c r="N265" s="1081"/>
      <c r="O265" s="1049" t="s">
        <v>103</v>
      </c>
      <c r="P265" s="1724">
        <f>I251+L256</f>
        <v>7.2</v>
      </c>
      <c r="Q265" s="1569">
        <f>J251+M256</f>
        <v>7.2</v>
      </c>
      <c r="R265" s="1724"/>
      <c r="S265" s="1569"/>
      <c r="T265" s="1724">
        <f>I278</f>
        <v>4.5</v>
      </c>
      <c r="U265" s="1569">
        <f>J278</f>
        <v>4.5</v>
      </c>
      <c r="V265" s="1724">
        <f t="shared" si="135"/>
        <v>7.2</v>
      </c>
      <c r="W265" s="1586">
        <f t="shared" si="136"/>
        <v>7.2</v>
      </c>
      <c r="X265" s="1724">
        <f t="shared" si="137"/>
        <v>4.5</v>
      </c>
      <c r="Y265" s="1585">
        <f t="shared" si="138"/>
        <v>4.5</v>
      </c>
      <c r="AA265" s="1875" t="s">
        <v>881</v>
      </c>
      <c r="AB265" s="1782"/>
      <c r="AC265" s="1879"/>
      <c r="AD265" s="444">
        <f>I272</f>
        <v>156.44999999999999</v>
      </c>
      <c r="AE265" s="1883">
        <f>J272</f>
        <v>105</v>
      </c>
      <c r="AF265" s="1789"/>
      <c r="AG265" s="1887"/>
      <c r="AH265" s="1789">
        <f t="shared" si="155"/>
        <v>156.44999999999999</v>
      </c>
      <c r="AI265" s="1890">
        <f>AC265+AE265</f>
        <v>105</v>
      </c>
      <c r="AJ265" s="1789">
        <f t="shared" si="156"/>
        <v>156.44999999999999</v>
      </c>
      <c r="AK265" s="1893">
        <f>AE265+AG265</f>
        <v>105</v>
      </c>
      <c r="AM265" s="1944" t="s">
        <v>95</v>
      </c>
      <c r="AN265" s="1743">
        <f t="shared" si="143"/>
        <v>32.08</v>
      </c>
      <c r="AO265" s="857">
        <f t="shared" si="144"/>
        <v>32.08</v>
      </c>
      <c r="AP265" s="1661" t="s">
        <v>880</v>
      </c>
      <c r="AQ265" s="1840">
        <f t="shared" ref="AQ265:AQ283" si="157">AB264+AD264+AF264</f>
        <v>0</v>
      </c>
      <c r="AR265" s="1667">
        <f t="shared" ref="AR265:AR283" si="158">AC264+AE264+AG264</f>
        <v>0</v>
      </c>
    </row>
    <row r="266" spans="2:44" ht="15.75" thickBot="1">
      <c r="B266" s="962" t="s">
        <v>10</v>
      </c>
      <c r="C266" s="241" t="s">
        <v>11</v>
      </c>
      <c r="D266" s="284">
        <v>60</v>
      </c>
      <c r="E266" s="1073" t="s">
        <v>975</v>
      </c>
      <c r="F266" s="903">
        <v>193.75</v>
      </c>
      <c r="G266" s="1179">
        <v>193.75</v>
      </c>
      <c r="H266" s="185" t="s">
        <v>93</v>
      </c>
      <c r="I266" s="256">
        <v>35.5</v>
      </c>
      <c r="J266" s="257">
        <v>35.5</v>
      </c>
      <c r="K266" s="185" t="s">
        <v>95</v>
      </c>
      <c r="L266" s="233">
        <v>9.1</v>
      </c>
      <c r="M266" s="235">
        <v>9.1</v>
      </c>
      <c r="N266" s="91"/>
      <c r="O266" s="1049" t="s">
        <v>906</v>
      </c>
      <c r="P266" s="1979">
        <f>Q266/1000/0.04</f>
        <v>5.0000000000000001E-3</v>
      </c>
      <c r="Q266" s="1586">
        <f>J248</f>
        <v>0.2</v>
      </c>
      <c r="R266" s="1912">
        <f>S266/1000/0.04</f>
        <v>0.29799999999999999</v>
      </c>
      <c r="S266" s="1586">
        <f>M263+G271</f>
        <v>11.92</v>
      </c>
      <c r="T266" s="1979">
        <f>U266/1000/0.04</f>
        <v>2.9999999999999995E-2</v>
      </c>
      <c r="U266" s="1586">
        <f>G281</f>
        <v>1.2</v>
      </c>
      <c r="V266" s="1724">
        <f t="shared" si="135"/>
        <v>0.30299999999999999</v>
      </c>
      <c r="W266" s="1586">
        <f t="shared" si="136"/>
        <v>12.12</v>
      </c>
      <c r="X266" s="1724">
        <f t="shared" si="137"/>
        <v>0.32799999999999996</v>
      </c>
      <c r="Y266" s="1585">
        <f t="shared" si="138"/>
        <v>13.12</v>
      </c>
      <c r="AA266" s="1876" t="s">
        <v>882</v>
      </c>
      <c r="AB266" s="1783"/>
      <c r="AC266" s="1880"/>
      <c r="AD266" s="1779"/>
      <c r="AE266" s="1884"/>
      <c r="AF266" s="1790">
        <f>L280</f>
        <v>7.5</v>
      </c>
      <c r="AG266" s="1888">
        <f>M280</f>
        <v>7</v>
      </c>
      <c r="AH266" s="1790">
        <f t="shared" si="155"/>
        <v>0</v>
      </c>
      <c r="AI266" s="1891"/>
      <c r="AJ266" s="1812">
        <f t="shared" si="156"/>
        <v>7.5</v>
      </c>
      <c r="AK266" s="2046"/>
      <c r="AM266" s="1944" t="s">
        <v>103</v>
      </c>
      <c r="AN266" s="1743">
        <f t="shared" si="143"/>
        <v>11.7</v>
      </c>
      <c r="AO266" s="857">
        <f t="shared" si="144"/>
        <v>11.7</v>
      </c>
      <c r="AP266" s="1662" t="s">
        <v>881</v>
      </c>
      <c r="AQ266" s="1840">
        <f t="shared" si="157"/>
        <v>156.44999999999999</v>
      </c>
      <c r="AR266" s="1667">
        <f t="shared" si="158"/>
        <v>105</v>
      </c>
    </row>
    <row r="267" spans="2:44" ht="15.75" thickBot="1">
      <c r="B267" s="246" t="s">
        <v>10</v>
      </c>
      <c r="C267" s="241" t="s">
        <v>792</v>
      </c>
      <c r="D267" s="284">
        <v>40</v>
      </c>
      <c r="E267" s="474" t="s">
        <v>311</v>
      </c>
      <c r="F267" s="251">
        <v>2.9449999999999998</v>
      </c>
      <c r="G267" s="481">
        <v>2.5</v>
      </c>
      <c r="H267" s="185" t="s">
        <v>130</v>
      </c>
      <c r="I267" s="256">
        <v>21.6</v>
      </c>
      <c r="J267" s="257">
        <v>18</v>
      </c>
      <c r="K267" s="185" t="s">
        <v>116</v>
      </c>
      <c r="L267" s="233">
        <v>6</v>
      </c>
      <c r="M267" s="235">
        <v>6</v>
      </c>
      <c r="O267" s="1049" t="s">
        <v>57</v>
      </c>
      <c r="P267" s="2059">
        <f>L244+L255</f>
        <v>13</v>
      </c>
      <c r="Q267" s="1600">
        <f>M244+M255</f>
        <v>13</v>
      </c>
      <c r="R267" s="1724"/>
      <c r="S267" s="1600"/>
      <c r="T267" s="1724">
        <f>L278</f>
        <v>6</v>
      </c>
      <c r="U267" s="1600">
        <f>M278</f>
        <v>6</v>
      </c>
      <c r="V267" s="1724">
        <f t="shared" si="135"/>
        <v>13</v>
      </c>
      <c r="W267" s="1586">
        <f t="shared" si="136"/>
        <v>13</v>
      </c>
      <c r="X267" s="1724">
        <f t="shared" si="137"/>
        <v>6</v>
      </c>
      <c r="Y267" s="1585">
        <f t="shared" si="138"/>
        <v>6</v>
      </c>
      <c r="AA267" s="1877" t="s">
        <v>883</v>
      </c>
      <c r="AB267" s="1896">
        <f>SUM(AB263:AB266)</f>
        <v>3.75</v>
      </c>
      <c r="AC267" s="1881">
        <f>AC263+AC264+AC265+AC266</f>
        <v>3</v>
      </c>
      <c r="AD267" s="1968">
        <f>AD263+AD264+AD265+AD266</f>
        <v>156.44999999999999</v>
      </c>
      <c r="AE267" s="1885">
        <f>AE263+AE264+AE265+AE266</f>
        <v>105</v>
      </c>
      <c r="AF267" s="1898">
        <f>SUM(AF263:AF266)</f>
        <v>7.5</v>
      </c>
      <c r="AG267" s="1889">
        <f>SUM(AG263:AG266)</f>
        <v>7</v>
      </c>
      <c r="AH267" s="1898">
        <f t="shared" si="155"/>
        <v>160.19999999999999</v>
      </c>
      <c r="AI267" s="1892">
        <f>AC267+AE267</f>
        <v>108</v>
      </c>
      <c r="AJ267" s="1898">
        <f t="shared" si="156"/>
        <v>163.95</v>
      </c>
      <c r="AK267" s="1895">
        <f>AE267+AG267</f>
        <v>112</v>
      </c>
      <c r="AM267" s="1944" t="s">
        <v>162</v>
      </c>
      <c r="AN267" s="1743">
        <f t="shared" si="143"/>
        <v>0.33299999999999996</v>
      </c>
      <c r="AO267" s="857">
        <f t="shared" si="144"/>
        <v>13.319999999999999</v>
      </c>
      <c r="AP267" s="1707" t="s">
        <v>882</v>
      </c>
      <c r="AQ267" s="1840">
        <f t="shared" si="157"/>
        <v>7.5</v>
      </c>
      <c r="AR267" s="1667">
        <f t="shared" si="158"/>
        <v>7</v>
      </c>
    </row>
    <row r="268" spans="2:44" ht="15.75" thickBot="1">
      <c r="B268" s="1522" t="s">
        <v>1004</v>
      </c>
      <c r="C268" s="241" t="s">
        <v>1012</v>
      </c>
      <c r="D268" s="907">
        <v>105</v>
      </c>
      <c r="E268" s="763" t="s">
        <v>133</v>
      </c>
      <c r="F268" s="329"/>
      <c r="G268" s="329"/>
      <c r="H268" s="185" t="s">
        <v>95</v>
      </c>
      <c r="I268" s="234">
        <v>5.7</v>
      </c>
      <c r="J268" s="269">
        <v>5.7</v>
      </c>
      <c r="K268" s="915" t="s">
        <v>180</v>
      </c>
      <c r="M268" s="71"/>
      <c r="O268" s="1049" t="s">
        <v>171</v>
      </c>
      <c r="P268" s="1724"/>
      <c r="Q268" s="1569"/>
      <c r="R268" s="1724"/>
      <c r="S268" s="1569"/>
      <c r="T268" s="1724"/>
      <c r="U268" s="1569"/>
      <c r="V268" s="1724">
        <f t="shared" si="135"/>
        <v>0</v>
      </c>
      <c r="W268" s="1586">
        <f t="shared" si="136"/>
        <v>0</v>
      </c>
      <c r="X268" s="1724">
        <f t="shared" si="137"/>
        <v>0</v>
      </c>
      <c r="Y268" s="1585">
        <f t="shared" si="138"/>
        <v>0</v>
      </c>
      <c r="AA268" s="1702" t="s">
        <v>896</v>
      </c>
      <c r="AB268" s="1784">
        <f>I243</f>
        <v>62.48</v>
      </c>
      <c r="AC268" s="1703">
        <f>J243</f>
        <v>53.1</v>
      </c>
      <c r="AD268" s="1788"/>
      <c r="AE268" s="1704"/>
      <c r="AF268" s="1784">
        <f>F276</f>
        <v>55.3</v>
      </c>
      <c r="AG268" s="1703">
        <f>G276</f>
        <v>47.01</v>
      </c>
      <c r="AH268" s="1788">
        <f t="shared" ref="AH268:AH274" si="159">AB268+AD268</f>
        <v>62.48</v>
      </c>
      <c r="AI268" s="1769">
        <f>AC268+AE268</f>
        <v>53.1</v>
      </c>
      <c r="AJ268" s="1788">
        <f t="shared" ref="AJ268:AJ274" si="160">AD268+AF268</f>
        <v>55.3</v>
      </c>
      <c r="AK268" s="1806">
        <f>AE268+AG268</f>
        <v>47.01</v>
      </c>
      <c r="AM268" s="1944" t="s">
        <v>57</v>
      </c>
      <c r="AN268" s="1743">
        <f t="shared" si="143"/>
        <v>19</v>
      </c>
      <c r="AO268" s="857">
        <f t="shared" si="144"/>
        <v>19</v>
      </c>
      <c r="AP268" s="1719" t="s">
        <v>883</v>
      </c>
      <c r="AQ268" s="1918">
        <f>AB267+AD267+AF267</f>
        <v>167.7</v>
      </c>
      <c r="AR268" s="1666">
        <f>AC267+AE267+AG267</f>
        <v>115</v>
      </c>
    </row>
    <row r="269" spans="2:44" ht="15.75" thickBot="1">
      <c r="B269" s="61"/>
      <c r="C269" s="764"/>
      <c r="E269" s="401" t="s">
        <v>93</v>
      </c>
      <c r="F269" s="256">
        <v>31.4</v>
      </c>
      <c r="G269" s="267">
        <v>31.4</v>
      </c>
      <c r="H269" s="866"/>
      <c r="I269" s="648"/>
      <c r="J269" s="1215"/>
      <c r="K269" s="185" t="s">
        <v>108</v>
      </c>
      <c r="L269" s="233">
        <v>8.75</v>
      </c>
      <c r="M269" s="235">
        <v>8.75</v>
      </c>
      <c r="O269" s="1049" t="s">
        <v>59</v>
      </c>
      <c r="P269" s="1724"/>
      <c r="Q269" s="1569"/>
      <c r="R269" s="1724"/>
      <c r="S269" s="1569"/>
      <c r="T269" s="1724">
        <f>L276</f>
        <v>1</v>
      </c>
      <c r="U269" s="1569">
        <f>M276</f>
        <v>1</v>
      </c>
      <c r="V269" s="1724">
        <f t="shared" si="135"/>
        <v>0</v>
      </c>
      <c r="W269" s="1586">
        <f t="shared" si="136"/>
        <v>0</v>
      </c>
      <c r="X269" s="1724">
        <f t="shared" si="137"/>
        <v>1</v>
      </c>
      <c r="Y269" s="1585">
        <f t="shared" si="138"/>
        <v>1</v>
      </c>
      <c r="AA269" s="1692" t="s">
        <v>897</v>
      </c>
      <c r="AB269" s="1783"/>
      <c r="AC269" s="1693"/>
      <c r="AD269" s="1790"/>
      <c r="AE269" s="2061"/>
      <c r="AF269" s="1783"/>
      <c r="AG269" s="1693"/>
      <c r="AH269" s="1790">
        <f t="shared" si="159"/>
        <v>0</v>
      </c>
      <c r="AI269" s="1770">
        <f>AC269+AE269</f>
        <v>0</v>
      </c>
      <c r="AJ269" s="1790">
        <f t="shared" si="160"/>
        <v>0</v>
      </c>
      <c r="AK269" s="1807">
        <f>AE269+AG269</f>
        <v>0</v>
      </c>
      <c r="AM269" s="1944" t="s">
        <v>171</v>
      </c>
      <c r="AN269" s="1743">
        <f t="shared" si="143"/>
        <v>0</v>
      </c>
      <c r="AO269" s="857">
        <f t="shared" si="144"/>
        <v>0</v>
      </c>
      <c r="AP269" s="1702" t="s">
        <v>389</v>
      </c>
      <c r="AQ269" s="1840">
        <f t="shared" si="157"/>
        <v>117.78</v>
      </c>
      <c r="AR269" s="1667">
        <f t="shared" si="158"/>
        <v>100.11</v>
      </c>
    </row>
    <row r="270" spans="2:44" ht="15.75" thickBot="1">
      <c r="B270" s="61"/>
      <c r="C270" s="764"/>
      <c r="E270" s="185" t="s">
        <v>95</v>
      </c>
      <c r="F270" s="233">
        <v>2.2799999999999998</v>
      </c>
      <c r="G270" s="193">
        <v>2.2799999999999998</v>
      </c>
      <c r="H270" s="473" t="s">
        <v>1012</v>
      </c>
      <c r="I270" s="38"/>
      <c r="J270" s="38"/>
      <c r="K270" s="185" t="s">
        <v>111</v>
      </c>
      <c r="L270" s="233">
        <v>2.63</v>
      </c>
      <c r="M270" s="235">
        <v>2.63</v>
      </c>
      <c r="O270" s="1049" t="s">
        <v>169</v>
      </c>
      <c r="P270" s="1724"/>
      <c r="Q270" s="1569"/>
      <c r="R270" s="1724"/>
      <c r="S270" s="1569"/>
      <c r="T270" s="1724"/>
      <c r="U270" s="1569"/>
      <c r="V270" s="1724">
        <f t="shared" si="135"/>
        <v>0</v>
      </c>
      <c r="W270" s="1586">
        <f t="shared" si="136"/>
        <v>0</v>
      </c>
      <c r="X270" s="1724">
        <f t="shared" si="137"/>
        <v>0</v>
      </c>
      <c r="Y270" s="1585">
        <f t="shared" si="138"/>
        <v>0</v>
      </c>
      <c r="AA270" s="1721" t="s">
        <v>876</v>
      </c>
      <c r="AB270" s="1867">
        <f t="shared" ref="AB270:AG270" si="161">SUM(AB268:AB269)</f>
        <v>62.48</v>
      </c>
      <c r="AC270" s="2056">
        <f t="shared" si="161"/>
        <v>53.1</v>
      </c>
      <c r="AD270" s="1865">
        <f t="shared" si="161"/>
        <v>0</v>
      </c>
      <c r="AE270" s="1698">
        <f t="shared" si="161"/>
        <v>0</v>
      </c>
      <c r="AF270" s="1867">
        <f t="shared" si="161"/>
        <v>55.3</v>
      </c>
      <c r="AG270" s="1866">
        <f t="shared" si="161"/>
        <v>47.01</v>
      </c>
      <c r="AH270" s="1796">
        <f t="shared" si="159"/>
        <v>62.48</v>
      </c>
      <c r="AI270" s="1771">
        <f>AC270+AE270</f>
        <v>53.1</v>
      </c>
      <c r="AJ270" s="1796">
        <f t="shared" si="160"/>
        <v>55.3</v>
      </c>
      <c r="AK270" s="1699">
        <f>AE270+AG270</f>
        <v>47.01</v>
      </c>
      <c r="AM270" s="1944" t="s">
        <v>59</v>
      </c>
      <c r="AN270" s="1743">
        <f t="shared" si="143"/>
        <v>1</v>
      </c>
      <c r="AO270" s="857">
        <f t="shared" si="144"/>
        <v>1</v>
      </c>
      <c r="AP270" s="1692" t="s">
        <v>188</v>
      </c>
      <c r="AQ270" s="1840">
        <f t="shared" si="157"/>
        <v>0</v>
      </c>
      <c r="AR270" s="1667">
        <f t="shared" si="158"/>
        <v>0</v>
      </c>
    </row>
    <row r="271" spans="2:44" ht="12" customHeight="1" thickBot="1">
      <c r="B271" s="61"/>
      <c r="C271" s="764"/>
      <c r="E271" s="444" t="s">
        <v>225</v>
      </c>
      <c r="F271" s="2173" t="s">
        <v>985</v>
      </c>
      <c r="G271" s="481">
        <v>5.72</v>
      </c>
      <c r="H271" s="263" t="s">
        <v>118</v>
      </c>
      <c r="I271" s="97" t="s">
        <v>119</v>
      </c>
      <c r="J271" s="292" t="s">
        <v>120</v>
      </c>
      <c r="K271" s="185" t="s">
        <v>94</v>
      </c>
      <c r="L271" s="233">
        <v>26.3</v>
      </c>
      <c r="M271" s="235">
        <v>26.3</v>
      </c>
      <c r="O271" s="1049" t="s">
        <v>168</v>
      </c>
      <c r="P271" s="1724"/>
      <c r="Q271" s="1569"/>
      <c r="R271" s="1724"/>
      <c r="S271" s="1569"/>
      <c r="T271" s="1724"/>
      <c r="U271" s="1569"/>
      <c r="V271" s="1724">
        <f t="shared" si="135"/>
        <v>0</v>
      </c>
      <c r="W271" s="1586">
        <f t="shared" si="136"/>
        <v>0</v>
      </c>
      <c r="X271" s="1724">
        <f t="shared" si="137"/>
        <v>0</v>
      </c>
      <c r="Y271" s="1585">
        <f t="shared" si="138"/>
        <v>0</v>
      </c>
      <c r="AA271" s="1843" t="s">
        <v>387</v>
      </c>
      <c r="AB271" s="1900"/>
      <c r="AC271" s="1901"/>
      <c r="AD271" s="1899"/>
      <c r="AE271" s="1846"/>
      <c r="AF271" s="1900"/>
      <c r="AG271" s="1901"/>
      <c r="AH271" s="1788">
        <f t="shared" si="159"/>
        <v>0</v>
      </c>
      <c r="AI271" s="1852"/>
      <c r="AJ271" s="1788">
        <f t="shared" si="160"/>
        <v>0</v>
      </c>
      <c r="AK271" s="1856"/>
      <c r="AM271" s="1944" t="s">
        <v>169</v>
      </c>
      <c r="AN271" s="1743">
        <f t="shared" si="143"/>
        <v>0</v>
      </c>
      <c r="AO271" s="857">
        <f t="shared" si="144"/>
        <v>0</v>
      </c>
      <c r="AP271" s="1721" t="s">
        <v>876</v>
      </c>
      <c r="AQ271" s="1997">
        <f>AB270+AD270+AF270</f>
        <v>117.78</v>
      </c>
      <c r="AR271" s="1669">
        <f>AC270+AE270+AG270</f>
        <v>100.11</v>
      </c>
    </row>
    <row r="272" spans="2:44" ht="14.25" customHeight="1">
      <c r="B272" s="61"/>
      <c r="C272" s="764"/>
      <c r="E272" s="185" t="s">
        <v>92</v>
      </c>
      <c r="F272" s="256">
        <v>20.02</v>
      </c>
      <c r="G272" s="267">
        <v>20.02</v>
      </c>
      <c r="H272" s="480" t="s">
        <v>592</v>
      </c>
      <c r="I272" s="326">
        <v>156.44999999999999</v>
      </c>
      <c r="J272" s="762">
        <v>105</v>
      </c>
      <c r="K272" s="185" t="s">
        <v>222</v>
      </c>
      <c r="L272" s="467">
        <v>1E-3</v>
      </c>
      <c r="M272" s="468">
        <v>1E-3</v>
      </c>
      <c r="O272" s="1049" t="s">
        <v>89</v>
      </c>
      <c r="P272" s="1724"/>
      <c r="Q272" s="1569"/>
      <c r="R272" s="1724"/>
      <c r="S272" s="1569"/>
      <c r="T272" s="1724"/>
      <c r="U272" s="1569"/>
      <c r="V272" s="1724">
        <f t="shared" si="135"/>
        <v>0</v>
      </c>
      <c r="W272" s="1586">
        <f t="shared" si="136"/>
        <v>0</v>
      </c>
      <c r="X272" s="1724">
        <f t="shared" si="137"/>
        <v>0</v>
      </c>
      <c r="Y272" s="1585">
        <f t="shared" si="138"/>
        <v>0</v>
      </c>
      <c r="AA272" s="1844" t="s">
        <v>121</v>
      </c>
      <c r="AB272" s="1902">
        <f>I244</f>
        <v>30.231000000000002</v>
      </c>
      <c r="AC272" s="1848">
        <f>J244</f>
        <v>26.9</v>
      </c>
      <c r="AD272" s="1965"/>
      <c r="AE272" s="1904"/>
      <c r="AF272" s="1902">
        <f>F277</f>
        <v>32.96</v>
      </c>
      <c r="AG272" s="1848">
        <f>G277</f>
        <v>29.32</v>
      </c>
      <c r="AH272" s="1789">
        <f t="shared" si="159"/>
        <v>30.231000000000002</v>
      </c>
      <c r="AI272" s="1853">
        <f>AC272+AE272</f>
        <v>26.9</v>
      </c>
      <c r="AJ272" s="1789">
        <f t="shared" si="160"/>
        <v>32.96</v>
      </c>
      <c r="AK272" s="1857">
        <f t="shared" ref="AK272:AK286" si="162">AE272+AG272</f>
        <v>29.32</v>
      </c>
      <c r="AM272" s="1944" t="s">
        <v>168</v>
      </c>
      <c r="AN272" s="1743">
        <f t="shared" si="143"/>
        <v>0</v>
      </c>
      <c r="AO272" s="857">
        <f t="shared" si="144"/>
        <v>0</v>
      </c>
      <c r="AP272" s="1843" t="s">
        <v>387</v>
      </c>
      <c r="AQ272" s="1840">
        <f t="shared" si="157"/>
        <v>0</v>
      </c>
      <c r="AR272" s="1667">
        <f t="shared" si="158"/>
        <v>0</v>
      </c>
    </row>
    <row r="273" spans="2:49" ht="12" customHeight="1" thickBot="1">
      <c r="B273" s="1139" t="s">
        <v>583</v>
      </c>
      <c r="C273" s="1197"/>
      <c r="D273" s="1137">
        <f>D259+D260+D261+D265+D266+D267+D268+155+35</f>
        <v>1005</v>
      </c>
      <c r="E273" s="1212" t="s">
        <v>61</v>
      </c>
      <c r="F273" s="984">
        <v>0.59</v>
      </c>
      <c r="G273" s="1213">
        <v>0.59</v>
      </c>
      <c r="H273" s="237"/>
      <c r="I273" s="232"/>
      <c r="J273" s="232"/>
      <c r="K273" s="195" t="s">
        <v>61</v>
      </c>
      <c r="L273" s="200">
        <v>0.35</v>
      </c>
      <c r="M273" s="290">
        <v>0.35</v>
      </c>
      <c r="O273" s="1049" t="s">
        <v>61</v>
      </c>
      <c r="P273" s="1724">
        <f>F249+F257+I249</f>
        <v>2.5599999999999996</v>
      </c>
      <c r="Q273" s="1569">
        <f>G249+G257+J249</f>
        <v>2.5599999999999996</v>
      </c>
      <c r="R273" s="1724">
        <f>F264+F273+L273</f>
        <v>2.04</v>
      </c>
      <c r="S273" s="1569">
        <f>G264+M273+G273</f>
        <v>2.04</v>
      </c>
      <c r="T273" s="1727">
        <f>I276</f>
        <v>1</v>
      </c>
      <c r="U273" s="1569">
        <f>J276</f>
        <v>1</v>
      </c>
      <c r="V273" s="1724">
        <f>P273+R273</f>
        <v>4.5999999999999996</v>
      </c>
      <c r="W273" s="1586">
        <f t="shared" si="136"/>
        <v>4.5999999999999996</v>
      </c>
      <c r="X273" s="1724">
        <f t="shared" si="137"/>
        <v>3.04</v>
      </c>
      <c r="Y273" s="1585">
        <f t="shared" si="138"/>
        <v>3.04</v>
      </c>
      <c r="AA273" s="1845" t="s">
        <v>388</v>
      </c>
      <c r="AB273" s="1903"/>
      <c r="AC273" s="1868"/>
      <c r="AD273" s="1870">
        <f>F267</f>
        <v>2.9449999999999998</v>
      </c>
      <c r="AE273" s="1905">
        <f>G267</f>
        <v>2.5</v>
      </c>
      <c r="AF273" s="1903"/>
      <c r="AG273" s="1868"/>
      <c r="AH273" s="1790">
        <f t="shared" si="159"/>
        <v>2.9449999999999998</v>
      </c>
      <c r="AI273" s="1854">
        <f>AC273+AE273</f>
        <v>2.5</v>
      </c>
      <c r="AJ273" s="1790">
        <f t="shared" si="160"/>
        <v>2.9449999999999998</v>
      </c>
      <c r="AK273" s="1858">
        <f t="shared" si="162"/>
        <v>2.5</v>
      </c>
      <c r="AM273" s="1944" t="s">
        <v>89</v>
      </c>
      <c r="AN273" s="1743">
        <f t="shared" si="143"/>
        <v>0</v>
      </c>
      <c r="AO273" s="857">
        <f t="shared" si="144"/>
        <v>0</v>
      </c>
      <c r="AP273" s="1844" t="s">
        <v>121</v>
      </c>
      <c r="AQ273" s="1840">
        <f t="shared" si="157"/>
        <v>63.191000000000003</v>
      </c>
      <c r="AR273" s="1667">
        <f t="shared" si="158"/>
        <v>56.22</v>
      </c>
    </row>
    <row r="274" spans="2:49" ht="14.25" customHeight="1" thickBot="1">
      <c r="B274" s="404"/>
      <c r="C274" s="169" t="s">
        <v>324</v>
      </c>
      <c r="D274" s="3"/>
      <c r="E274" s="1146" t="s">
        <v>969</v>
      </c>
      <c r="F274" s="38"/>
      <c r="G274" s="38"/>
      <c r="H274" s="312"/>
      <c r="I274" s="312"/>
      <c r="J274" s="50"/>
      <c r="K274" s="473" t="s">
        <v>593</v>
      </c>
      <c r="L274" s="969"/>
      <c r="M274" s="50"/>
      <c r="O274" s="1049" t="s">
        <v>143</v>
      </c>
      <c r="P274" s="1724">
        <f>L246</f>
        <v>10</v>
      </c>
      <c r="Q274" s="1569">
        <f>M246</f>
        <v>10</v>
      </c>
      <c r="R274" s="1724">
        <f>L265</f>
        <v>4.4000000000000004</v>
      </c>
      <c r="S274" s="1569">
        <f>M265</f>
        <v>4.4000000000000004</v>
      </c>
      <c r="T274" s="1724"/>
      <c r="U274" s="1569"/>
      <c r="V274" s="1724">
        <f t="shared" si="135"/>
        <v>14.4</v>
      </c>
      <c r="W274" s="1586">
        <f t="shared" si="136"/>
        <v>14.4</v>
      </c>
      <c r="X274" s="1724">
        <f t="shared" si="137"/>
        <v>4.4000000000000004</v>
      </c>
      <c r="Y274" s="1585">
        <f t="shared" si="138"/>
        <v>4.4000000000000004</v>
      </c>
      <c r="AA274" s="1850" t="s">
        <v>875</v>
      </c>
      <c r="AB274" s="1871">
        <f t="shared" ref="AB274:AG274" si="163">AB271+AB272+AB273</f>
        <v>30.231000000000002</v>
      </c>
      <c r="AC274" s="1851">
        <f t="shared" si="163"/>
        <v>26.9</v>
      </c>
      <c r="AD274" s="1871">
        <f t="shared" si="163"/>
        <v>2.9449999999999998</v>
      </c>
      <c r="AE274" s="1851">
        <f t="shared" si="163"/>
        <v>2.5</v>
      </c>
      <c r="AF274" s="1871">
        <f t="shared" si="163"/>
        <v>32.96</v>
      </c>
      <c r="AG274" s="1851">
        <f t="shared" si="163"/>
        <v>29.32</v>
      </c>
      <c r="AH274" s="1791">
        <f t="shared" si="159"/>
        <v>33.176000000000002</v>
      </c>
      <c r="AI274" s="1855">
        <f>AC274+AE274</f>
        <v>29.4</v>
      </c>
      <c r="AJ274" s="1791">
        <f t="shared" si="160"/>
        <v>35.905000000000001</v>
      </c>
      <c r="AK274" s="1859">
        <f t="shared" si="162"/>
        <v>31.82</v>
      </c>
      <c r="AM274" s="1944" t="s">
        <v>61</v>
      </c>
      <c r="AN274" s="1743">
        <f t="shared" si="143"/>
        <v>5.6</v>
      </c>
      <c r="AO274" s="857">
        <f t="shared" si="144"/>
        <v>5.6</v>
      </c>
      <c r="AP274" s="1845" t="s">
        <v>388</v>
      </c>
      <c r="AQ274" s="1840">
        <f t="shared" si="157"/>
        <v>2.9449999999999998</v>
      </c>
      <c r="AR274" s="1667">
        <f t="shared" si="158"/>
        <v>2.5</v>
      </c>
    </row>
    <row r="275" spans="2:49" ht="14.25" customHeight="1" thickBot="1">
      <c r="B275" s="1522" t="s">
        <v>830</v>
      </c>
      <c r="C275" s="241" t="s">
        <v>593</v>
      </c>
      <c r="D275" s="429">
        <v>200</v>
      </c>
      <c r="E275" s="307" t="s">
        <v>118</v>
      </c>
      <c r="F275" s="102" t="s">
        <v>119</v>
      </c>
      <c r="G275" s="465" t="s">
        <v>120</v>
      </c>
      <c r="H275" s="339" t="s">
        <v>118</v>
      </c>
      <c r="I275" s="102" t="s">
        <v>119</v>
      </c>
      <c r="J275" s="133" t="s">
        <v>120</v>
      </c>
      <c r="K275" s="339" t="s">
        <v>118</v>
      </c>
      <c r="L275" s="102" t="s">
        <v>119</v>
      </c>
      <c r="M275" s="1084" t="s">
        <v>120</v>
      </c>
      <c r="O275" s="1617" t="s">
        <v>229</v>
      </c>
      <c r="P275" s="1747">
        <f>P279+P278+P277+P276</f>
        <v>1.5747200000000001</v>
      </c>
      <c r="Q275" s="2082">
        <f>Q276+Q277+Q278+Q279</f>
        <v>1.5747200000000001</v>
      </c>
      <c r="R275" s="1911">
        <f>R276+R277+R278+R279</f>
        <v>1.0999999999999999E-2</v>
      </c>
      <c r="S275" s="1576">
        <f>S276+S277+S278+S279</f>
        <v>1.0999999999999999E-2</v>
      </c>
      <c r="T275" s="1747">
        <f>T276+T277+T278+T279</f>
        <v>0</v>
      </c>
      <c r="U275" s="1576">
        <f>U276+U277+U278+U279</f>
        <v>0</v>
      </c>
      <c r="V275" s="1912">
        <f>P275+R275</f>
        <v>1.58572</v>
      </c>
      <c r="W275" s="1586">
        <f t="shared" si="136"/>
        <v>1.58572</v>
      </c>
      <c r="X275" s="1979">
        <f>R275+T275</f>
        <v>1.0999999999999999E-2</v>
      </c>
      <c r="Y275" s="1679">
        <f t="shared" si="138"/>
        <v>1.0999999999999999E-2</v>
      </c>
      <c r="AA275" s="1695" t="s">
        <v>208</v>
      </c>
      <c r="AB275" s="1784"/>
      <c r="AC275" s="1696"/>
      <c r="AD275" s="1784"/>
      <c r="AE275" s="1697"/>
      <c r="AF275" s="1784"/>
      <c r="AG275" s="1758"/>
      <c r="AH275" s="1788">
        <f t="shared" ref="AH275:AH282" si="164">AB275+AD275</f>
        <v>0</v>
      </c>
      <c r="AI275" s="1772">
        <f>AC275+AE275</f>
        <v>0</v>
      </c>
      <c r="AJ275" s="1788">
        <f t="shared" ref="AJ275:AJ282" si="165">AD275+AF275</f>
        <v>0</v>
      </c>
      <c r="AK275" s="1603">
        <f t="shared" si="162"/>
        <v>0</v>
      </c>
      <c r="AM275" s="1944" t="s">
        <v>143</v>
      </c>
      <c r="AN275" s="1743">
        <f t="shared" si="143"/>
        <v>14.4</v>
      </c>
      <c r="AO275" s="857">
        <f t="shared" si="144"/>
        <v>14.4</v>
      </c>
      <c r="AP275" s="1850" t="s">
        <v>875</v>
      </c>
      <c r="AQ275" s="1916">
        <f>AB274+AD274+AF274</f>
        <v>66.135999999999996</v>
      </c>
      <c r="AR275" s="1917">
        <f>AC274+AE274+AG274</f>
        <v>58.72</v>
      </c>
      <c r="AW275" s="94"/>
    </row>
    <row r="276" spans="2:49" ht="13.5" customHeight="1">
      <c r="B276" s="156" t="s">
        <v>968</v>
      </c>
      <c r="C276" s="2573" t="s">
        <v>969</v>
      </c>
      <c r="D276" s="429">
        <v>100</v>
      </c>
      <c r="E276" s="100" t="s">
        <v>99</v>
      </c>
      <c r="F276" s="123">
        <v>55.3</v>
      </c>
      <c r="G276" s="735">
        <v>47.01</v>
      </c>
      <c r="H276" s="216" t="s">
        <v>61</v>
      </c>
      <c r="I276" s="123">
        <v>1</v>
      </c>
      <c r="J276" s="131">
        <v>1</v>
      </c>
      <c r="K276" s="100" t="s">
        <v>107</v>
      </c>
      <c r="L276" s="123">
        <v>1</v>
      </c>
      <c r="M276" s="131">
        <v>1</v>
      </c>
      <c r="O276" s="1618" t="s">
        <v>222</v>
      </c>
      <c r="P276" s="1971">
        <f>F248+F256</f>
        <v>1.472E-2</v>
      </c>
      <c r="Q276" s="1572">
        <f>G248+G256</f>
        <v>1.472E-2</v>
      </c>
      <c r="R276" s="1971">
        <f>F265+L272</f>
        <v>1.0999999999999999E-2</v>
      </c>
      <c r="S276" s="1572">
        <f>G265+M272</f>
        <v>1.0999999999999999E-2</v>
      </c>
      <c r="T276" s="1728"/>
      <c r="U276" s="1572"/>
      <c r="V276" s="1775">
        <f>P276+R276</f>
        <v>2.572E-2</v>
      </c>
      <c r="W276" s="1572"/>
      <c r="X276" s="1725">
        <f t="shared" si="137"/>
        <v>1.0999999999999999E-2</v>
      </c>
      <c r="Y276" s="1607"/>
      <c r="AA276" s="1663" t="s">
        <v>81</v>
      </c>
      <c r="AB276" s="1782"/>
      <c r="AC276" s="1599"/>
      <c r="AD276" s="1782"/>
      <c r="AE276" s="1670"/>
      <c r="AF276" s="1782"/>
      <c r="AG276" s="1682"/>
      <c r="AH276" s="1789">
        <f t="shared" si="164"/>
        <v>0</v>
      </c>
      <c r="AI276" s="1772">
        <f t="shared" ref="AI276:AI282" si="166">AC276+AE276</f>
        <v>0</v>
      </c>
      <c r="AJ276" s="1789">
        <f t="shared" si="165"/>
        <v>0</v>
      </c>
      <c r="AK276" s="1645">
        <f t="shared" si="162"/>
        <v>0</v>
      </c>
      <c r="AM276" s="1948" t="s">
        <v>229</v>
      </c>
      <c r="AN276" s="2079">
        <f>P275+R275+T275</f>
        <v>1.58572</v>
      </c>
      <c r="AO276" s="857">
        <f t="shared" si="144"/>
        <v>1.58572</v>
      </c>
      <c r="AP276" s="1695" t="s">
        <v>208</v>
      </c>
      <c r="AQ276" s="1840">
        <f t="shared" si="157"/>
        <v>0</v>
      </c>
      <c r="AR276" s="1667">
        <f t="shared" si="158"/>
        <v>0</v>
      </c>
    </row>
    <row r="277" spans="2:49">
      <c r="B277" s="246" t="s">
        <v>10</v>
      </c>
      <c r="C277" s="241" t="s">
        <v>792</v>
      </c>
      <c r="D277" s="2383">
        <v>50</v>
      </c>
      <c r="E277" s="240" t="s">
        <v>244</v>
      </c>
      <c r="F277" s="233">
        <v>32.96</v>
      </c>
      <c r="G277" s="193">
        <v>29.32</v>
      </c>
      <c r="H277" s="241" t="s">
        <v>135</v>
      </c>
      <c r="I277" s="233">
        <v>10</v>
      </c>
      <c r="J277" s="235">
        <v>10</v>
      </c>
      <c r="K277" s="249" t="s">
        <v>94</v>
      </c>
      <c r="L277" s="251">
        <v>66</v>
      </c>
      <c r="M277" s="255">
        <v>66</v>
      </c>
      <c r="O277" s="1619" t="s">
        <v>679</v>
      </c>
      <c r="P277" s="1972">
        <f>G250</f>
        <v>1.56</v>
      </c>
      <c r="Q277" s="1573">
        <f>G250</f>
        <v>1.56</v>
      </c>
      <c r="R277" s="1972"/>
      <c r="S277" s="1573"/>
      <c r="T277" s="1972"/>
      <c r="U277" s="1573"/>
      <c r="V277" s="1775">
        <f t="shared" ref="V277:V278" si="167">P277+R277</f>
        <v>1.56</v>
      </c>
      <c r="W277" s="1573"/>
      <c r="X277" s="1725">
        <f t="shared" si="137"/>
        <v>0</v>
      </c>
      <c r="Y277" s="1608"/>
      <c r="AA277" s="1663" t="s">
        <v>83</v>
      </c>
      <c r="AB277" s="1785"/>
      <c r="AC277" s="1639"/>
      <c r="AD277" s="1785"/>
      <c r="AE277" s="1671"/>
      <c r="AF277" s="1785"/>
      <c r="AG277" s="1759"/>
      <c r="AH277" s="1789">
        <f t="shared" si="164"/>
        <v>0</v>
      </c>
      <c r="AI277" s="1772">
        <f t="shared" si="166"/>
        <v>0</v>
      </c>
      <c r="AJ277" s="1789">
        <f t="shared" si="165"/>
        <v>0</v>
      </c>
      <c r="AK277" s="1645">
        <f t="shared" si="162"/>
        <v>0</v>
      </c>
      <c r="AM277" s="1949" t="s">
        <v>222</v>
      </c>
      <c r="AN277" s="2076">
        <f t="shared" si="143"/>
        <v>2.572E-2</v>
      </c>
      <c r="AO277" s="1677">
        <f t="shared" ref="AO277" si="168">Q277+S277+U277</f>
        <v>1.56</v>
      </c>
      <c r="AP277" s="1663" t="s">
        <v>81</v>
      </c>
      <c r="AQ277" s="1840">
        <f t="shared" si="157"/>
        <v>0</v>
      </c>
      <c r="AR277" s="1667">
        <f t="shared" si="158"/>
        <v>0</v>
      </c>
      <c r="AU277" s="116"/>
    </row>
    <row r="278" spans="2:49">
      <c r="B278" s="61"/>
      <c r="C278" s="1143"/>
      <c r="D278" s="2384"/>
      <c r="E278" s="185" t="s">
        <v>91</v>
      </c>
      <c r="F278" s="233">
        <v>22</v>
      </c>
      <c r="G278" s="193">
        <v>22</v>
      </c>
      <c r="H278" s="283" t="s">
        <v>103</v>
      </c>
      <c r="I278" s="251">
        <v>4.5</v>
      </c>
      <c r="J278" s="255">
        <v>4.5</v>
      </c>
      <c r="K278" s="186" t="s">
        <v>57</v>
      </c>
      <c r="L278" s="254">
        <v>6</v>
      </c>
      <c r="M278" s="293">
        <v>6</v>
      </c>
      <c r="O278" s="1620" t="s">
        <v>449</v>
      </c>
      <c r="P278" s="1982"/>
      <c r="Q278" s="1574"/>
      <c r="R278" s="1730"/>
      <c r="S278" s="1574"/>
      <c r="T278" s="1982"/>
      <c r="U278" s="1574"/>
      <c r="V278" s="1775">
        <f t="shared" si="167"/>
        <v>0</v>
      </c>
      <c r="W278" s="1574"/>
      <c r="X278" s="1725">
        <f t="shared" si="137"/>
        <v>0</v>
      </c>
      <c r="Y278" s="1609"/>
      <c r="AA278" s="1663" t="s">
        <v>84</v>
      </c>
      <c r="AB278" s="1782"/>
      <c r="AC278" s="1639"/>
      <c r="AD278" s="1782"/>
      <c r="AE278" s="1671"/>
      <c r="AF278" s="1782"/>
      <c r="AG278" s="1759"/>
      <c r="AH278" s="1789">
        <f t="shared" si="164"/>
        <v>0</v>
      </c>
      <c r="AI278" s="1772">
        <f t="shared" si="166"/>
        <v>0</v>
      </c>
      <c r="AJ278" s="1789">
        <f t="shared" si="165"/>
        <v>0</v>
      </c>
      <c r="AK278" s="1645">
        <f t="shared" si="162"/>
        <v>0</v>
      </c>
      <c r="AM278" s="1950" t="s">
        <v>679</v>
      </c>
      <c r="AN278" s="2076">
        <f t="shared" si="143"/>
        <v>1.56</v>
      </c>
      <c r="AO278" s="1677">
        <f>Q278+S278+U278</f>
        <v>0</v>
      </c>
      <c r="AP278" s="1663" t="s">
        <v>83</v>
      </c>
      <c r="AQ278" s="1840">
        <f t="shared" si="157"/>
        <v>0</v>
      </c>
      <c r="AR278" s="1667">
        <f t="shared" si="158"/>
        <v>0</v>
      </c>
      <c r="AU278" s="142"/>
    </row>
    <row r="279" spans="2:49" ht="14.25" customHeight="1">
      <c r="B279" s="61"/>
      <c r="C279" s="999"/>
      <c r="D279" s="71"/>
      <c r="E279" s="185" t="s">
        <v>68</v>
      </c>
      <c r="F279" s="233">
        <v>7.85</v>
      </c>
      <c r="G279" s="411">
        <v>7.85</v>
      </c>
      <c r="H279" s="1149"/>
      <c r="I279" s="225"/>
      <c r="J279" s="1150"/>
      <c r="K279" s="249" t="s">
        <v>94</v>
      </c>
      <c r="L279" s="251">
        <v>145</v>
      </c>
      <c r="M279" s="255">
        <v>145</v>
      </c>
      <c r="O279" s="1942" t="s">
        <v>167</v>
      </c>
      <c r="P279" s="1983"/>
      <c r="Q279" s="1574"/>
      <c r="R279" s="1725"/>
      <c r="S279" s="1574"/>
      <c r="T279" s="1983"/>
      <c r="U279" s="1574"/>
      <c r="V279" s="1976">
        <f>P279+R279</f>
        <v>0</v>
      </c>
      <c r="W279" s="1574"/>
      <c r="X279" s="1976">
        <f t="shared" si="137"/>
        <v>0</v>
      </c>
      <c r="Y279" s="1609"/>
      <c r="AA279" s="1663" t="s">
        <v>85</v>
      </c>
      <c r="AB279" s="1782"/>
      <c r="AC279" s="1599"/>
      <c r="AD279" s="1782"/>
      <c r="AE279" s="1670"/>
      <c r="AF279" s="1782"/>
      <c r="AG279" s="1682"/>
      <c r="AH279" s="1789">
        <f t="shared" si="164"/>
        <v>0</v>
      </c>
      <c r="AI279" s="1772">
        <f t="shared" si="166"/>
        <v>0</v>
      </c>
      <c r="AJ279" s="1789">
        <f t="shared" si="165"/>
        <v>0</v>
      </c>
      <c r="AK279" s="1645">
        <f t="shared" si="162"/>
        <v>0</v>
      </c>
      <c r="AM279" s="1951" t="s">
        <v>449</v>
      </c>
      <c r="AN279" s="2076">
        <f t="shared" si="143"/>
        <v>0</v>
      </c>
      <c r="AO279" s="1677">
        <f t="shared" ref="AO279" si="169">Q279+S279+U279</f>
        <v>0</v>
      </c>
      <c r="AP279" s="1663" t="s">
        <v>84</v>
      </c>
      <c r="AQ279" s="1840">
        <f t="shared" si="157"/>
        <v>0</v>
      </c>
      <c r="AR279" s="1667">
        <f t="shared" si="158"/>
        <v>0</v>
      </c>
      <c r="AU279" s="137"/>
      <c r="AW279" s="48"/>
    </row>
    <row r="280" spans="2:49" ht="15.75" thickBot="1">
      <c r="B280" s="61"/>
      <c r="C280" s="1201"/>
      <c r="D280" s="71"/>
      <c r="E280" s="185" t="s">
        <v>221</v>
      </c>
      <c r="F280" s="233">
        <v>12</v>
      </c>
      <c r="G280" s="411">
        <v>10</v>
      </c>
      <c r="H280" s="283"/>
      <c r="I280" s="251"/>
      <c r="K280" s="185" t="s">
        <v>594</v>
      </c>
      <c r="L280" s="271">
        <v>7.5</v>
      </c>
      <c r="M280" s="737">
        <v>7</v>
      </c>
      <c r="O280" s="195" t="s">
        <v>116</v>
      </c>
      <c r="P280" s="2060">
        <f>F250</f>
        <v>0</v>
      </c>
      <c r="Q280" s="2022"/>
      <c r="R280" s="1610">
        <f>L267</f>
        <v>6</v>
      </c>
      <c r="S280" s="2022">
        <f>M267</f>
        <v>6</v>
      </c>
      <c r="T280" s="1610">
        <f>I277</f>
        <v>10</v>
      </c>
      <c r="U280" s="2022">
        <f>J277</f>
        <v>10</v>
      </c>
      <c r="V280" s="1837">
        <f>P280+R280</f>
        <v>6</v>
      </c>
      <c r="W280" s="2022"/>
      <c r="X280" s="1837">
        <f>R280+T280</f>
        <v>16</v>
      </c>
      <c r="Y280" s="1611"/>
      <c r="AA280" s="1663" t="s">
        <v>87</v>
      </c>
      <c r="AB280" s="1782"/>
      <c r="AC280" s="1640"/>
      <c r="AD280" s="1782"/>
      <c r="AE280" s="1670"/>
      <c r="AF280" s="1782"/>
      <c r="AG280" s="1682"/>
      <c r="AH280" s="1789">
        <f t="shared" si="164"/>
        <v>0</v>
      </c>
      <c r="AI280" s="1772">
        <f t="shared" si="166"/>
        <v>0</v>
      </c>
      <c r="AJ280" s="1789">
        <f t="shared" si="165"/>
        <v>0</v>
      </c>
      <c r="AK280" s="1645">
        <f t="shared" si="162"/>
        <v>0</v>
      </c>
      <c r="AM280" s="1953" t="s">
        <v>167</v>
      </c>
      <c r="AN280" s="2076">
        <f t="shared" si="143"/>
        <v>0</v>
      </c>
      <c r="AO280" s="1677">
        <f>Q280+S280+U280</f>
        <v>16</v>
      </c>
      <c r="AP280" s="1663" t="s">
        <v>85</v>
      </c>
      <c r="AQ280" s="1840">
        <f t="shared" si="157"/>
        <v>0</v>
      </c>
      <c r="AR280" s="1667">
        <f t="shared" si="158"/>
        <v>0</v>
      </c>
      <c r="AU280" s="142"/>
    </row>
    <row r="281" spans="2:49" ht="13.5" customHeight="1" thickBot="1">
      <c r="B281" s="1139" t="s">
        <v>584</v>
      </c>
      <c r="C281" s="1136"/>
      <c r="D281" s="1137">
        <f>SUM(D275:D280)</f>
        <v>350</v>
      </c>
      <c r="E281" s="195" t="s">
        <v>241</v>
      </c>
      <c r="F281" s="277" t="s">
        <v>986</v>
      </c>
      <c r="G281" s="972">
        <v>1.2</v>
      </c>
      <c r="H281" s="1152"/>
      <c r="I281" s="232"/>
      <c r="J281" s="191"/>
      <c r="K281" s="647"/>
      <c r="L281" s="996"/>
      <c r="M281" s="997"/>
      <c r="Q281" s="1570"/>
      <c r="S281" s="1570"/>
      <c r="U281" s="1570"/>
      <c r="W281" s="1570"/>
      <c r="Y281" s="1570"/>
      <c r="AA281" s="1663" t="s">
        <v>88</v>
      </c>
      <c r="AB281" s="1782"/>
      <c r="AC281" s="1599"/>
      <c r="AD281" s="1782"/>
      <c r="AE281" s="1670"/>
      <c r="AF281" s="1782"/>
      <c r="AG281" s="1682"/>
      <c r="AH281" s="1789">
        <f t="shared" si="164"/>
        <v>0</v>
      </c>
      <c r="AI281" s="1772">
        <f t="shared" si="166"/>
        <v>0</v>
      </c>
      <c r="AJ281" s="1789">
        <f t="shared" si="165"/>
        <v>0</v>
      </c>
      <c r="AK281" s="1645">
        <f t="shared" si="162"/>
        <v>0</v>
      </c>
      <c r="AM281" s="573" t="s">
        <v>116</v>
      </c>
      <c r="AN281" s="2078">
        <f>P280+R280+T280</f>
        <v>16</v>
      </c>
      <c r="AO281" s="1995">
        <f>Q281+S281+U281</f>
        <v>0</v>
      </c>
      <c r="AP281" s="1663" t="s">
        <v>87</v>
      </c>
      <c r="AQ281" s="1840">
        <f t="shared" si="157"/>
        <v>0</v>
      </c>
      <c r="AR281" s="1667">
        <f t="shared" si="158"/>
        <v>0</v>
      </c>
      <c r="AU281" s="142"/>
    </row>
    <row r="282" spans="2:49" ht="14.25" customHeight="1" thickBot="1">
      <c r="Q282" s="1570"/>
      <c r="S282" s="1570"/>
      <c r="U282" s="1570"/>
      <c r="W282" s="1570"/>
      <c r="Y282" s="1570"/>
      <c r="AA282" s="1685" t="s">
        <v>90</v>
      </c>
      <c r="AB282" s="1927"/>
      <c r="AC282" s="1907"/>
      <c r="AD282" s="1783"/>
      <c r="AE282" s="1687"/>
      <c r="AF282" s="1783"/>
      <c r="AG282" s="1760"/>
      <c r="AH282" s="1790">
        <f t="shared" si="164"/>
        <v>0</v>
      </c>
      <c r="AI282" s="1772">
        <f t="shared" si="166"/>
        <v>0</v>
      </c>
      <c r="AJ282" s="1790">
        <f t="shared" si="165"/>
        <v>0</v>
      </c>
      <c r="AK282" s="1805">
        <f t="shared" si="162"/>
        <v>0</v>
      </c>
      <c r="AP282" s="1663" t="s">
        <v>88</v>
      </c>
      <c r="AQ282" s="1840">
        <f t="shared" si="157"/>
        <v>0</v>
      </c>
      <c r="AR282" s="1667">
        <f t="shared" si="158"/>
        <v>0</v>
      </c>
    </row>
    <row r="283" spans="2:49" ht="15" customHeight="1" thickBot="1">
      <c r="Q283" s="1570"/>
      <c r="S283" s="1570"/>
      <c r="U283" s="1570"/>
      <c r="W283" s="1570"/>
      <c r="Y283" s="1570"/>
      <c r="AA283" s="1688" t="s">
        <v>877</v>
      </c>
      <c r="AB283" s="1786">
        <f t="shared" ref="AB283:AG283" si="170">SUM(AB275:AB282)</f>
        <v>0</v>
      </c>
      <c r="AC283" s="1689">
        <f t="shared" si="170"/>
        <v>0</v>
      </c>
      <c r="AD283" s="1906">
        <f t="shared" si="170"/>
        <v>0</v>
      </c>
      <c r="AE283" s="1690">
        <f t="shared" si="170"/>
        <v>0</v>
      </c>
      <c r="AF283" s="1786">
        <f t="shared" si="170"/>
        <v>0</v>
      </c>
      <c r="AG283" s="1761">
        <f t="shared" si="170"/>
        <v>0</v>
      </c>
      <c r="AH283" s="1797">
        <f t="shared" ref="AH283:AJ286" si="171">AB283+AD283</f>
        <v>0</v>
      </c>
      <c r="AI283" s="1816">
        <f t="shared" si="171"/>
        <v>0</v>
      </c>
      <c r="AJ283" s="1797">
        <f t="shared" si="171"/>
        <v>0</v>
      </c>
      <c r="AK283" s="1691">
        <f t="shared" si="162"/>
        <v>0</v>
      </c>
      <c r="AP283" s="1685" t="s">
        <v>90</v>
      </c>
      <c r="AQ283" s="1840">
        <f t="shared" si="157"/>
        <v>0</v>
      </c>
      <c r="AR283" s="1667">
        <f t="shared" si="158"/>
        <v>0</v>
      </c>
    </row>
    <row r="284" spans="2:49" ht="14.25" customHeight="1" thickBot="1">
      <c r="Q284" s="1570"/>
      <c r="S284" s="1570"/>
      <c r="U284" s="1570"/>
      <c r="W284" s="1570"/>
      <c r="Y284" s="1570"/>
      <c r="AA284" s="2062" t="s">
        <v>93</v>
      </c>
      <c r="AB284" s="1784"/>
      <c r="AC284" s="2064"/>
      <c r="AD284" s="1788"/>
      <c r="AE284" s="2067"/>
      <c r="AF284" s="1784"/>
      <c r="AG284" s="2064"/>
      <c r="AH284" s="1788">
        <f t="shared" si="171"/>
        <v>0</v>
      </c>
      <c r="AI284" s="2069">
        <f t="shared" si="171"/>
        <v>0</v>
      </c>
      <c r="AJ284" s="1788">
        <f t="shared" si="171"/>
        <v>0</v>
      </c>
      <c r="AK284" s="1709">
        <f t="shared" si="162"/>
        <v>0</v>
      </c>
      <c r="AL284" s="367"/>
      <c r="AP284" s="1688" t="s">
        <v>877</v>
      </c>
      <c r="AQ284" s="1919">
        <f>AB283+AD283+AF283</f>
        <v>0</v>
      </c>
      <c r="AR284" s="1820">
        <f>AC283+AE283+AG283</f>
        <v>0</v>
      </c>
    </row>
    <row r="285" spans="2:49" ht="15.75" thickBot="1">
      <c r="O285" s="4"/>
      <c r="Q285" s="367"/>
      <c r="S285" s="1581"/>
      <c r="U285" s="1570"/>
      <c r="W285" s="1570"/>
      <c r="Y285" s="1570"/>
      <c r="AA285" s="2063" t="s">
        <v>908</v>
      </c>
      <c r="AB285" s="1783"/>
      <c r="AC285" s="2065"/>
      <c r="AD285" s="1790"/>
      <c r="AE285" s="2068"/>
      <c r="AF285" s="1783"/>
      <c r="AG285" s="2065"/>
      <c r="AH285" s="1790">
        <f t="shared" si="171"/>
        <v>0</v>
      </c>
      <c r="AI285" s="1767">
        <f t="shared" si="171"/>
        <v>0</v>
      </c>
      <c r="AJ285" s="1790">
        <f t="shared" si="171"/>
        <v>0</v>
      </c>
      <c r="AK285" s="1701">
        <f t="shared" si="162"/>
        <v>0</v>
      </c>
      <c r="AL285" s="1570"/>
      <c r="AP285" s="2062" t="s">
        <v>93</v>
      </c>
      <c r="AQ285" s="1840">
        <f t="shared" ref="AQ285:AQ286" si="172">AB284+AD284+AF284</f>
        <v>0</v>
      </c>
      <c r="AR285" s="1667">
        <f t="shared" ref="AR285:AR286" si="173">AC284+AE284+AG284</f>
        <v>0</v>
      </c>
    </row>
    <row r="286" spans="2:49" ht="15.75" thickBot="1">
      <c r="O286" s="4"/>
      <c r="Q286" s="367"/>
      <c r="S286" s="367"/>
      <c r="U286" s="1570"/>
      <c r="W286" s="1570"/>
      <c r="Y286" s="1570"/>
      <c r="AA286" s="1720" t="s">
        <v>909</v>
      </c>
      <c r="AB286" s="2070">
        <f t="shared" ref="AB286:AG286" si="174">SUM(AB284:AB285)</f>
        <v>0</v>
      </c>
      <c r="AC286" s="2066">
        <f t="shared" si="174"/>
        <v>0</v>
      </c>
      <c r="AD286" s="2071">
        <f t="shared" si="174"/>
        <v>0</v>
      </c>
      <c r="AE286" s="1705">
        <f t="shared" si="174"/>
        <v>0</v>
      </c>
      <c r="AF286" s="2070">
        <f t="shared" si="174"/>
        <v>0</v>
      </c>
      <c r="AG286" s="2072">
        <f t="shared" si="174"/>
        <v>0</v>
      </c>
      <c r="AH286" s="1795">
        <f t="shared" si="171"/>
        <v>0</v>
      </c>
      <c r="AI286" s="1768">
        <f t="shared" si="171"/>
        <v>0</v>
      </c>
      <c r="AJ286" s="1795">
        <f t="shared" si="171"/>
        <v>0</v>
      </c>
      <c r="AK286" s="1706">
        <f t="shared" si="162"/>
        <v>0</v>
      </c>
      <c r="AL286" s="1570"/>
      <c r="AP286" s="2063" t="s">
        <v>908</v>
      </c>
      <c r="AQ286" s="2074">
        <f t="shared" si="172"/>
        <v>0</v>
      </c>
      <c r="AR286" s="1700">
        <f t="shared" si="173"/>
        <v>0</v>
      </c>
    </row>
    <row r="287" spans="2:49" ht="15.75" thickBot="1">
      <c r="O287" s="4"/>
      <c r="Q287" s="367"/>
      <c r="S287" s="367"/>
      <c r="U287" s="1570"/>
      <c r="W287" s="1570"/>
      <c r="Y287" s="1570"/>
      <c r="AC287" s="62"/>
      <c r="AE287" s="62"/>
      <c r="AF287" s="1570"/>
      <c r="AG287" s="786"/>
      <c r="AH287" s="1570"/>
      <c r="AI287" s="62"/>
      <c r="AJ287" s="282"/>
      <c r="AK287" s="62"/>
      <c r="AL287" s="1570"/>
      <c r="AP287" s="1720" t="s">
        <v>909</v>
      </c>
      <c r="AQ287" s="2075">
        <f>AB286+AD286+AF286</f>
        <v>0</v>
      </c>
      <c r="AR287" s="1705">
        <f>AC286+AE286+AG286</f>
        <v>0</v>
      </c>
    </row>
    <row r="288" spans="2:49">
      <c r="O288" s="91"/>
      <c r="Q288" s="367"/>
      <c r="S288" s="1581"/>
      <c r="U288" s="1570"/>
      <c r="W288" s="1570"/>
      <c r="Y288" s="1570"/>
      <c r="AC288" s="62"/>
      <c r="AE288" s="62"/>
      <c r="AF288" s="1570"/>
      <c r="AG288" s="786"/>
      <c r="AH288" s="1570"/>
      <c r="AI288" s="62"/>
      <c r="AJ288" s="282"/>
      <c r="AK288" s="62"/>
      <c r="AL288" s="1570"/>
    </row>
    <row r="289" spans="2:51">
      <c r="C289" s="171" t="s">
        <v>551</v>
      </c>
      <c r="G289" s="2"/>
      <c r="H289" s="2"/>
      <c r="I289" s="2"/>
      <c r="L289" s="2"/>
      <c r="O289" s="4"/>
      <c r="Q289" s="367"/>
      <c r="S289" s="1581"/>
      <c r="U289" s="1570"/>
      <c r="W289" s="1570"/>
      <c r="Y289" s="1570"/>
      <c r="AC289" s="62"/>
      <c r="AE289" s="62"/>
      <c r="AF289" s="1570"/>
      <c r="AG289" s="786"/>
      <c r="AH289" s="1570"/>
      <c r="AI289" s="62"/>
      <c r="AJ289" s="282"/>
      <c r="AK289" s="62"/>
      <c r="AL289" s="1570"/>
    </row>
    <row r="290" spans="2:51">
      <c r="C290"/>
      <c r="D290" s="94" t="s">
        <v>354</v>
      </c>
      <c r="F290" s="15"/>
      <c r="K290" s="87"/>
      <c r="O290" s="4"/>
      <c r="Q290" s="367"/>
      <c r="S290" s="1581"/>
      <c r="U290" s="1570"/>
      <c r="W290" s="1570"/>
      <c r="Y290" s="1570"/>
      <c r="AC290" s="62"/>
      <c r="AE290" s="62"/>
      <c r="AF290" s="1570"/>
      <c r="AG290" s="786"/>
      <c r="AH290" s="1570"/>
      <c r="AI290" s="62"/>
      <c r="AJ290" s="282"/>
      <c r="AK290" s="62"/>
      <c r="AL290" s="1570"/>
    </row>
    <row r="291" spans="2:51">
      <c r="Q291" s="1570"/>
      <c r="S291" s="1570"/>
      <c r="U291" s="1570"/>
      <c r="W291" s="1570"/>
      <c r="Y291" s="1570"/>
      <c r="AC291" s="62"/>
      <c r="AE291" s="62"/>
      <c r="AF291" s="1570"/>
      <c r="AG291" s="786"/>
      <c r="AH291" s="1570"/>
      <c r="AI291" s="62"/>
      <c r="AJ291" s="282"/>
      <c r="AK291" s="62"/>
      <c r="AL291" s="1570"/>
    </row>
    <row r="292" spans="2:51">
      <c r="C292" s="1" t="s">
        <v>552</v>
      </c>
      <c r="O292" t="s">
        <v>872</v>
      </c>
      <c r="Y292" s="1570"/>
      <c r="AK292" s="62"/>
      <c r="AL292" s="1570"/>
    </row>
    <row r="293" spans="2:51">
      <c r="C293" s="1" t="s">
        <v>553</v>
      </c>
      <c r="Q293" s="1570"/>
      <c r="S293" s="1570"/>
      <c r="U293" s="367"/>
      <c r="W293" s="367"/>
      <c r="Y293" s="367"/>
      <c r="AA293" t="s">
        <v>872</v>
      </c>
      <c r="AK293" s="62"/>
      <c r="AL293" s="1570"/>
    </row>
    <row r="294" spans="2:51">
      <c r="C294" s="1" t="s">
        <v>553</v>
      </c>
      <c r="E294" t="s">
        <v>554</v>
      </c>
      <c r="O294" s="517"/>
      <c r="Q294" s="1570"/>
      <c r="S294" s="1570"/>
      <c r="U294" s="1570"/>
      <c r="W294" s="1570"/>
      <c r="Y294" s="1570"/>
      <c r="AA294" s="94" t="str">
        <f>O297</f>
        <v>6 - й   день</v>
      </c>
      <c r="AB294" s="201" t="s">
        <v>513</v>
      </c>
      <c r="AG294" s="129" t="s">
        <v>174</v>
      </c>
      <c r="AI294" s="45" t="s">
        <v>558</v>
      </c>
      <c r="AJ294" s="63"/>
      <c r="AK294" s="62"/>
      <c r="AL294" s="1570"/>
    </row>
    <row r="295" spans="2:51">
      <c r="C295" s="1" t="s">
        <v>555</v>
      </c>
      <c r="E295" t="s">
        <v>556</v>
      </c>
      <c r="Q295" s="1570"/>
      <c r="S295" s="1570"/>
      <c r="U295" s="1570"/>
      <c r="W295" s="1570"/>
      <c r="Y295" s="1570"/>
      <c r="AC295" s="62"/>
      <c r="AE295" s="62"/>
      <c r="AF295" s="367"/>
      <c r="AG295" s="786"/>
      <c r="AH295" s="367"/>
      <c r="AI295" s="62"/>
      <c r="AJ295" s="282"/>
      <c r="AK295" s="62"/>
      <c r="AL295" s="1570"/>
      <c r="AN295" s="142"/>
    </row>
    <row r="296" spans="2:51" ht="15.75" thickBot="1">
      <c r="C296" s="1" t="s">
        <v>555</v>
      </c>
      <c r="E296" t="s">
        <v>557</v>
      </c>
      <c r="Q296" s="1570"/>
      <c r="S296" s="367"/>
      <c r="U296" s="1570"/>
      <c r="W296" s="1570"/>
      <c r="Y296" s="1570"/>
      <c r="AC296" s="62"/>
      <c r="AE296" s="62"/>
      <c r="AF296" s="367"/>
      <c r="AG296" s="786"/>
      <c r="AH296" s="367"/>
      <c r="AI296" s="62"/>
      <c r="AJ296" s="142"/>
      <c r="AK296" s="62"/>
      <c r="AL296" s="1570"/>
      <c r="AN296" s="142"/>
    </row>
    <row r="297" spans="2:51" ht="16.5" thickBot="1">
      <c r="O297" s="1936" t="s">
        <v>914</v>
      </c>
      <c r="P297" s="516" t="s">
        <v>513</v>
      </c>
      <c r="Q297" s="38"/>
      <c r="R297" s="38"/>
      <c r="S297" s="38"/>
      <c r="T297" s="38"/>
      <c r="U297" s="1937" t="s">
        <v>174</v>
      </c>
      <c r="V297" s="38"/>
      <c r="W297" s="1938" t="s">
        <v>558</v>
      </c>
      <c r="X297" s="1939"/>
      <c r="Y297" s="1582"/>
      <c r="AC297" s="62"/>
      <c r="AE297" s="62"/>
      <c r="AF297" s="1570"/>
      <c r="AG297" s="786"/>
      <c r="AH297" s="1570"/>
      <c r="AI297" s="62"/>
      <c r="AJ297" s="282"/>
      <c r="AK297" s="62"/>
      <c r="AL297" s="1570"/>
      <c r="AM297" s="37"/>
      <c r="AN297" s="312" t="s">
        <v>893</v>
      </c>
      <c r="AO297" s="38"/>
      <c r="AP297" s="68"/>
      <c r="AQ297" s="38"/>
      <c r="AR297" s="50"/>
    </row>
    <row r="298" spans="2:51" ht="15.75" thickBot="1">
      <c r="B298" s="2" t="s">
        <v>513</v>
      </c>
      <c r="F298" s="129" t="s">
        <v>174</v>
      </c>
      <c r="I298" s="13" t="s">
        <v>558</v>
      </c>
      <c r="K298" s="346"/>
      <c r="O298" s="1612" t="s">
        <v>508</v>
      </c>
      <c r="P298" s="1676" t="s">
        <v>886</v>
      </c>
      <c r="Q298" s="1602"/>
      <c r="R298" s="1676" t="s">
        <v>885</v>
      </c>
      <c r="S298" s="1602"/>
      <c r="T298" s="1676" t="s">
        <v>887</v>
      </c>
      <c r="U298" s="1602"/>
      <c r="V298" s="1676" t="s">
        <v>889</v>
      </c>
      <c r="W298" s="1602"/>
      <c r="X298" s="1977" t="s">
        <v>891</v>
      </c>
      <c r="Y298" s="1978"/>
      <c r="AA298" s="1612" t="s">
        <v>508</v>
      </c>
      <c r="AB298" s="1676" t="s">
        <v>886</v>
      </c>
      <c r="AC298" s="1602"/>
      <c r="AD298" s="1676" t="s">
        <v>885</v>
      </c>
      <c r="AE298" s="1602"/>
      <c r="AF298" s="1676" t="s">
        <v>887</v>
      </c>
      <c r="AG298" s="1602"/>
      <c r="AH298" s="1676" t="s">
        <v>888</v>
      </c>
      <c r="AI298" s="1602"/>
      <c r="AJ298" s="1798" t="s">
        <v>890</v>
      </c>
      <c r="AK298" s="1602"/>
      <c r="AL298" s="1570"/>
      <c r="AM298" s="1612" t="s">
        <v>508</v>
      </c>
      <c r="AN298" s="1862" t="s">
        <v>892</v>
      </c>
      <c r="AO298" s="1832"/>
      <c r="AP298" s="1612" t="s">
        <v>508</v>
      </c>
      <c r="AQ298" s="2001" t="s">
        <v>892</v>
      </c>
      <c r="AR298" s="1841"/>
      <c r="AS298" s="66"/>
    </row>
    <row r="299" spans="2:51" ht="16.5" thickBot="1">
      <c r="B299" s="658"/>
      <c r="C299"/>
      <c r="E299" s="19"/>
      <c r="F299" s="155"/>
      <c r="G299" s="155"/>
      <c r="H299" s="203"/>
      <c r="K299" s="16"/>
      <c r="L299" s="1125"/>
      <c r="M299" s="831"/>
      <c r="O299" s="871"/>
      <c r="P299" s="1621" t="s">
        <v>119</v>
      </c>
      <c r="Q299" s="1622" t="s">
        <v>120</v>
      </c>
      <c r="R299" s="1621" t="s">
        <v>119</v>
      </c>
      <c r="S299" s="1622" t="s">
        <v>120</v>
      </c>
      <c r="T299" s="1621" t="s">
        <v>119</v>
      </c>
      <c r="U299" s="1622" t="s">
        <v>120</v>
      </c>
      <c r="V299" s="1621" t="s">
        <v>119</v>
      </c>
      <c r="W299" s="1622" t="s">
        <v>120</v>
      </c>
      <c r="X299" s="1804" t="s">
        <v>119</v>
      </c>
      <c r="Y299" s="1822" t="s">
        <v>120</v>
      </c>
      <c r="AA299" s="2003" t="s">
        <v>67</v>
      </c>
      <c r="AB299" s="1621" t="s">
        <v>119</v>
      </c>
      <c r="AC299" s="1664" t="s">
        <v>120</v>
      </c>
      <c r="AD299" s="1637" t="s">
        <v>119</v>
      </c>
      <c r="AE299" s="1638" t="s">
        <v>120</v>
      </c>
      <c r="AF299" s="1637" t="s">
        <v>119</v>
      </c>
      <c r="AG299" s="1638" t="s">
        <v>120</v>
      </c>
      <c r="AH299" s="1621" t="s">
        <v>119</v>
      </c>
      <c r="AI299" s="1622" t="s">
        <v>120</v>
      </c>
      <c r="AJ299" s="1799" t="s">
        <v>119</v>
      </c>
      <c r="AK299" s="1622" t="s">
        <v>120</v>
      </c>
      <c r="AM299" s="871"/>
      <c r="AN299" s="1863" t="s">
        <v>119</v>
      </c>
      <c r="AO299" s="1833" t="s">
        <v>120</v>
      </c>
      <c r="AP299" s="2003" t="s">
        <v>67</v>
      </c>
      <c r="AQ299" s="2073" t="s">
        <v>119</v>
      </c>
      <c r="AR299" s="1985" t="s">
        <v>120</v>
      </c>
      <c r="AS299" s="9"/>
      <c r="AU299" s="855"/>
      <c r="AW299" s="855"/>
      <c r="AX299" s="32"/>
    </row>
    <row r="300" spans="2:51">
      <c r="B300" s="25" t="s">
        <v>565</v>
      </c>
      <c r="C300" s="83" t="s">
        <v>3</v>
      </c>
      <c r="D300" s="84" t="s">
        <v>4</v>
      </c>
      <c r="E300" s="88" t="s">
        <v>69</v>
      </c>
      <c r="F300" s="68"/>
      <c r="G300" s="68"/>
      <c r="H300" s="68"/>
      <c r="I300" s="68"/>
      <c r="J300" s="68"/>
      <c r="K300" s="68"/>
      <c r="L300" s="68"/>
      <c r="M300" s="54"/>
      <c r="O300" s="1992" t="s">
        <v>165</v>
      </c>
      <c r="P300" s="1731">
        <f>D309</f>
        <v>30</v>
      </c>
      <c r="Q300" s="2018">
        <f>D309</f>
        <v>30</v>
      </c>
      <c r="R300" s="1731">
        <f>D322</f>
        <v>44</v>
      </c>
      <c r="S300" s="2018">
        <f>D322</f>
        <v>44</v>
      </c>
      <c r="T300" s="1731"/>
      <c r="U300" s="2018"/>
      <c r="V300" s="1731">
        <f>P300+R300</f>
        <v>74</v>
      </c>
      <c r="W300" s="2019">
        <f>Q300+S300</f>
        <v>74</v>
      </c>
      <c r="X300" s="1731">
        <f>R300+T300</f>
        <v>44</v>
      </c>
      <c r="Y300" s="1583">
        <f>S300+U300</f>
        <v>44</v>
      </c>
      <c r="AA300" s="2034" t="s">
        <v>159</v>
      </c>
      <c r="AB300" s="2035"/>
      <c r="AC300" s="2099"/>
      <c r="AD300" s="1792"/>
      <c r="AE300" s="2037"/>
      <c r="AF300" s="1792"/>
      <c r="AG300" s="2038"/>
      <c r="AH300" s="1792">
        <f>AB300+AD300</f>
        <v>0</v>
      </c>
      <c r="AI300" s="1973">
        <f>AC300+AE300</f>
        <v>0</v>
      </c>
      <c r="AJ300" s="1792">
        <f>AD300+AF300</f>
        <v>0</v>
      </c>
      <c r="AK300" s="1583">
        <f>AE300+AG300</f>
        <v>0</v>
      </c>
      <c r="AM300" s="1992" t="s">
        <v>165</v>
      </c>
      <c r="AN300" s="1743">
        <f>P300+R300+T300</f>
        <v>74</v>
      </c>
      <c r="AO300" s="1653">
        <f>Q300+S300+U300</f>
        <v>74</v>
      </c>
      <c r="AP300" s="2034" t="s">
        <v>159</v>
      </c>
      <c r="AQ300" s="2112">
        <f>AB300+AD300+AF300</f>
        <v>0</v>
      </c>
      <c r="AR300" s="1808">
        <f>AC300+AE300+AG300</f>
        <v>0</v>
      </c>
      <c r="AX300" s="154"/>
    </row>
    <row r="301" spans="2:51" ht="15.75" thickBot="1">
      <c r="B301" s="287" t="s">
        <v>566</v>
      </c>
      <c r="C301" s="29"/>
      <c r="D301" s="489" t="s">
        <v>71</v>
      </c>
      <c r="E301" s="57"/>
      <c r="F301" s="29"/>
      <c r="G301" s="29"/>
      <c r="H301" s="29"/>
      <c r="I301" s="29"/>
      <c r="J301" s="29"/>
      <c r="K301" s="29"/>
      <c r="L301" s="29"/>
      <c r="M301" s="74"/>
      <c r="O301" s="1944" t="s">
        <v>164</v>
      </c>
      <c r="P301" s="1724">
        <f>D308</f>
        <v>50</v>
      </c>
      <c r="Q301" s="2020">
        <f>D308</f>
        <v>50</v>
      </c>
      <c r="R301" s="1724">
        <f>D321</f>
        <v>70</v>
      </c>
      <c r="S301" s="2020">
        <f>D321</f>
        <v>70</v>
      </c>
      <c r="T301" s="1724">
        <f>D330</f>
        <v>50</v>
      </c>
      <c r="U301" s="2020">
        <f>D330</f>
        <v>50</v>
      </c>
      <c r="V301" s="1724">
        <f t="shared" ref="V301:V329" si="175">P301+R301</f>
        <v>120</v>
      </c>
      <c r="W301" s="1586">
        <f t="shared" ref="W301:W330" si="176">Q301+S301</f>
        <v>120</v>
      </c>
      <c r="X301" s="1724">
        <f t="shared" ref="X301:X334" si="177">R301+T301</f>
        <v>120</v>
      </c>
      <c r="Y301" s="1585">
        <f t="shared" ref="Y301:Y330" si="178">S301+U301</f>
        <v>120</v>
      </c>
      <c r="AA301" s="2039" t="s">
        <v>70</v>
      </c>
      <c r="AB301" s="444"/>
      <c r="AC301" s="841"/>
      <c r="AD301" s="1789"/>
      <c r="AE301" s="1598"/>
      <c r="AF301" s="1789"/>
      <c r="AG301" s="1681"/>
      <c r="AH301" s="1789">
        <f t="shared" ref="AH301:AH314" si="179">AB301+AD301</f>
        <v>0</v>
      </c>
      <c r="AI301" s="1605">
        <f t="shared" ref="AI301:AI315" si="180">AC301+AE301</f>
        <v>0</v>
      </c>
      <c r="AJ301" s="1789">
        <f t="shared" ref="AJ301:AJ314" si="181">AD301+AF301</f>
        <v>0</v>
      </c>
      <c r="AK301" s="1585">
        <f t="shared" ref="AK301:AK314" si="182">AE301+AG301</f>
        <v>0</v>
      </c>
      <c r="AM301" s="1944" t="s">
        <v>164</v>
      </c>
      <c r="AN301" s="1743">
        <f t="shared" ref="AN301:AN334" si="183">P301+R301+T301</f>
        <v>170</v>
      </c>
      <c r="AO301" s="1653">
        <f t="shared" ref="AO301:AO330" si="184">Q301+S301+U301</f>
        <v>170</v>
      </c>
      <c r="AP301" s="2039" t="s">
        <v>70</v>
      </c>
      <c r="AQ301" s="1800">
        <f t="shared" ref="AQ301:AQ316" si="185">AB301+AD301+AF301</f>
        <v>0</v>
      </c>
      <c r="AR301" s="1809">
        <f t="shared" ref="AR301:AR315" si="186">AC301+AE301+AG301</f>
        <v>0</v>
      </c>
      <c r="AS301" s="136"/>
      <c r="AX301" s="155"/>
      <c r="AY301" s="136"/>
    </row>
    <row r="302" spans="2:51" ht="15.75" thickBot="1">
      <c r="B302" s="322" t="s">
        <v>569</v>
      </c>
      <c r="C302" s="466"/>
      <c r="D302" s="518"/>
      <c r="E302" s="501" t="s">
        <v>394</v>
      </c>
      <c r="F302" s="519"/>
      <c r="G302" s="520"/>
      <c r="H302" s="745" t="s">
        <v>147</v>
      </c>
      <c r="I302" s="38"/>
      <c r="J302" s="50"/>
      <c r="K302" s="2565" t="s">
        <v>1003</v>
      </c>
      <c r="L302" s="38"/>
      <c r="M302" s="50"/>
      <c r="O302" s="1993" t="s">
        <v>92</v>
      </c>
      <c r="P302" s="1724"/>
      <c r="Q302" s="1600"/>
      <c r="R302" s="1724">
        <f>I316+I320</f>
        <v>7.1</v>
      </c>
      <c r="S302" s="1600">
        <f>J316+J320</f>
        <v>7.1</v>
      </c>
      <c r="T302" s="1724">
        <f>F330+I334</f>
        <v>4.25</v>
      </c>
      <c r="U302" s="1586">
        <f>G330+J334</f>
        <v>4.25</v>
      </c>
      <c r="V302" s="1724">
        <f t="shared" si="175"/>
        <v>7.1</v>
      </c>
      <c r="W302" s="1586">
        <f t="shared" si="176"/>
        <v>7.1</v>
      </c>
      <c r="X302" s="1724">
        <f t="shared" si="177"/>
        <v>11.35</v>
      </c>
      <c r="Y302" s="1585">
        <f t="shared" si="178"/>
        <v>11.35</v>
      </c>
      <c r="AA302" s="2100" t="s">
        <v>72</v>
      </c>
      <c r="AB302" s="444"/>
      <c r="AC302" s="842"/>
      <c r="AD302" s="1789"/>
      <c r="AE302" s="1598"/>
      <c r="AF302" s="1789"/>
      <c r="AG302" s="1681"/>
      <c r="AH302" s="1789">
        <f t="shared" si="179"/>
        <v>0</v>
      </c>
      <c r="AI302" s="1605">
        <f t="shared" si="180"/>
        <v>0</v>
      </c>
      <c r="AJ302" s="1789">
        <f t="shared" si="181"/>
        <v>0</v>
      </c>
      <c r="AK302" s="1585">
        <f t="shared" si="182"/>
        <v>0</v>
      </c>
      <c r="AM302" s="1993" t="s">
        <v>92</v>
      </c>
      <c r="AN302" s="1743">
        <f t="shared" si="183"/>
        <v>11.35</v>
      </c>
      <c r="AO302" s="1653">
        <f t="shared" si="184"/>
        <v>11.35</v>
      </c>
      <c r="AP302" s="2100" t="s">
        <v>72</v>
      </c>
      <c r="AQ302" s="1800">
        <f t="shared" si="185"/>
        <v>0</v>
      </c>
      <c r="AR302" s="1809">
        <f t="shared" si="186"/>
        <v>0</v>
      </c>
      <c r="AS302" s="140"/>
      <c r="AX302" s="4"/>
      <c r="AY302" s="124"/>
    </row>
    <row r="303" spans="2:51" ht="15.75" thickBot="1">
      <c r="B303" s="88"/>
      <c r="C303" s="162" t="s">
        <v>199</v>
      </c>
      <c r="D303" s="54"/>
      <c r="E303" s="859" t="s">
        <v>654</v>
      </c>
      <c r="F303" s="521"/>
      <c r="G303" s="522"/>
      <c r="H303" s="339" t="s">
        <v>118</v>
      </c>
      <c r="I303" s="102" t="s">
        <v>119</v>
      </c>
      <c r="J303" s="465" t="s">
        <v>120</v>
      </c>
      <c r="K303" s="263" t="s">
        <v>118</v>
      </c>
      <c r="L303" s="97" t="s">
        <v>119</v>
      </c>
      <c r="M303" s="135" t="s">
        <v>120</v>
      </c>
      <c r="O303" s="1996" t="s">
        <v>900</v>
      </c>
      <c r="P303" s="1725">
        <f t="shared" ref="P303:U303" si="187">AB338</f>
        <v>38</v>
      </c>
      <c r="Q303" s="1595">
        <f t="shared" si="187"/>
        <v>38</v>
      </c>
      <c r="R303" s="1725">
        <f t="shared" si="187"/>
        <v>5</v>
      </c>
      <c r="S303" s="1595">
        <f t="shared" si="187"/>
        <v>5</v>
      </c>
      <c r="T303" s="1725">
        <f t="shared" si="187"/>
        <v>0</v>
      </c>
      <c r="U303" s="1595">
        <f t="shared" si="187"/>
        <v>0</v>
      </c>
      <c r="V303" s="1725">
        <f>P303+R303</f>
        <v>43</v>
      </c>
      <c r="W303" s="1594">
        <f t="shared" si="176"/>
        <v>43</v>
      </c>
      <c r="X303" s="1725">
        <f t="shared" si="177"/>
        <v>5</v>
      </c>
      <c r="Y303" s="1820">
        <f t="shared" si="178"/>
        <v>5</v>
      </c>
      <c r="AA303" s="2100" t="s">
        <v>74</v>
      </c>
      <c r="AB303" s="1789"/>
      <c r="AC303" s="843"/>
      <c r="AD303" s="1789"/>
      <c r="AE303" s="1598"/>
      <c r="AF303" s="1789"/>
      <c r="AG303" s="1681"/>
      <c r="AH303" s="1789">
        <f t="shared" si="179"/>
        <v>0</v>
      </c>
      <c r="AI303" s="1605">
        <f t="shared" si="180"/>
        <v>0</v>
      </c>
      <c r="AJ303" s="1789">
        <f t="shared" si="181"/>
        <v>0</v>
      </c>
      <c r="AK303" s="1585">
        <f t="shared" si="182"/>
        <v>0</v>
      </c>
      <c r="AM303" s="1996" t="s">
        <v>900</v>
      </c>
      <c r="AN303" s="2076">
        <f t="shared" si="183"/>
        <v>43</v>
      </c>
      <c r="AO303" s="1654">
        <f t="shared" si="184"/>
        <v>43</v>
      </c>
      <c r="AP303" s="2100" t="s">
        <v>74</v>
      </c>
      <c r="AQ303" s="1800">
        <f t="shared" si="185"/>
        <v>0</v>
      </c>
      <c r="AR303" s="1809">
        <f t="shared" si="186"/>
        <v>0</v>
      </c>
      <c r="AS303" s="124"/>
      <c r="AX303" s="4"/>
      <c r="AY303" s="142"/>
    </row>
    <row r="304" spans="2:51" ht="15.75" thickBot="1">
      <c r="B304" s="342" t="s">
        <v>195</v>
      </c>
      <c r="C304" s="283" t="s">
        <v>394</v>
      </c>
      <c r="D304" s="166">
        <v>200</v>
      </c>
      <c r="E304" s="319" t="s">
        <v>118</v>
      </c>
      <c r="F304" s="103" t="s">
        <v>119</v>
      </c>
      <c r="G304" s="136" t="s">
        <v>120</v>
      </c>
      <c r="H304" s="100" t="s">
        <v>107</v>
      </c>
      <c r="I304" s="326">
        <v>1</v>
      </c>
      <c r="J304" s="421">
        <v>1</v>
      </c>
      <c r="K304" s="480" t="s">
        <v>328</v>
      </c>
      <c r="L304" s="2566">
        <v>113.5</v>
      </c>
      <c r="M304" s="421">
        <v>100</v>
      </c>
      <c r="O304" s="1944" t="s">
        <v>123</v>
      </c>
      <c r="P304" s="1724"/>
      <c r="Q304" s="1569"/>
      <c r="R304" s="1724"/>
      <c r="S304" s="1569"/>
      <c r="T304" s="1724"/>
      <c r="U304" s="1569"/>
      <c r="V304" s="1724">
        <f t="shared" si="175"/>
        <v>0</v>
      </c>
      <c r="W304" s="1586">
        <f t="shared" si="176"/>
        <v>0</v>
      </c>
      <c r="X304" s="1724">
        <f t="shared" si="177"/>
        <v>0</v>
      </c>
      <c r="Y304" s="1585">
        <f t="shared" si="178"/>
        <v>0</v>
      </c>
      <c r="AA304" s="2039" t="s">
        <v>112</v>
      </c>
      <c r="AB304" s="1789"/>
      <c r="AC304" s="842"/>
      <c r="AD304" s="1969"/>
      <c r="AE304" s="1598"/>
      <c r="AF304" s="1789"/>
      <c r="AG304" s="1681"/>
      <c r="AH304" s="1789">
        <f t="shared" si="179"/>
        <v>0</v>
      </c>
      <c r="AI304" s="1605">
        <f t="shared" si="180"/>
        <v>0</v>
      </c>
      <c r="AJ304" s="1789">
        <f t="shared" si="181"/>
        <v>0</v>
      </c>
      <c r="AK304" s="1585">
        <f t="shared" si="182"/>
        <v>0</v>
      </c>
      <c r="AM304" s="1944" t="s">
        <v>123</v>
      </c>
      <c r="AN304" s="1743">
        <f t="shared" si="183"/>
        <v>0</v>
      </c>
      <c r="AO304" s="1653">
        <f t="shared" si="184"/>
        <v>0</v>
      </c>
      <c r="AP304" s="2039" t="s">
        <v>112</v>
      </c>
      <c r="AQ304" s="1800">
        <f t="shared" si="185"/>
        <v>0</v>
      </c>
      <c r="AR304" s="1809">
        <f t="shared" si="186"/>
        <v>0</v>
      </c>
      <c r="AS304" s="124"/>
      <c r="AX304" s="4"/>
      <c r="AY304" s="142"/>
    </row>
    <row r="305" spans="2:51" ht="15.75" thickBot="1">
      <c r="B305" s="168"/>
      <c r="C305" s="1100" t="s">
        <v>654</v>
      </c>
      <c r="D305" s="11"/>
      <c r="E305" s="98" t="s">
        <v>530</v>
      </c>
      <c r="F305" s="1503">
        <v>38</v>
      </c>
      <c r="G305" s="1504">
        <v>38</v>
      </c>
      <c r="H305" s="249" t="s">
        <v>94</v>
      </c>
      <c r="I305" s="877">
        <v>66</v>
      </c>
      <c r="J305" s="236"/>
      <c r="K305" s="513"/>
      <c r="L305" s="184"/>
      <c r="M305" s="165"/>
      <c r="O305" s="560" t="s">
        <v>52</v>
      </c>
      <c r="P305" s="1724"/>
      <c r="Q305" s="1586"/>
      <c r="R305" s="1724">
        <f>F316+L314</f>
        <v>162.51999999999998</v>
      </c>
      <c r="S305" s="1600">
        <f>G316+M314</f>
        <v>121.8</v>
      </c>
      <c r="T305" s="1966">
        <f>F328</f>
        <v>93.2</v>
      </c>
      <c r="U305" s="1586">
        <f>G328</f>
        <v>61.62</v>
      </c>
      <c r="V305" s="1724">
        <f t="shared" si="175"/>
        <v>162.51999999999998</v>
      </c>
      <c r="W305" s="1586">
        <f t="shared" si="176"/>
        <v>121.8</v>
      </c>
      <c r="X305" s="1724">
        <f t="shared" si="177"/>
        <v>255.71999999999997</v>
      </c>
      <c r="Y305" s="1585">
        <f t="shared" si="178"/>
        <v>183.42</v>
      </c>
      <c r="AA305" s="2100" t="s">
        <v>161</v>
      </c>
      <c r="AB305" s="1789"/>
      <c r="AC305" s="842"/>
      <c r="AD305" s="1789"/>
      <c r="AE305" s="1598"/>
      <c r="AF305" s="1789"/>
      <c r="AG305" s="1681"/>
      <c r="AH305" s="1789">
        <f t="shared" si="179"/>
        <v>0</v>
      </c>
      <c r="AI305" s="1605">
        <f t="shared" si="180"/>
        <v>0</v>
      </c>
      <c r="AJ305" s="1789">
        <f t="shared" si="181"/>
        <v>0</v>
      </c>
      <c r="AK305" s="1585">
        <f t="shared" si="182"/>
        <v>0</v>
      </c>
      <c r="AM305" s="495" t="s">
        <v>52</v>
      </c>
      <c r="AN305" s="1743">
        <f t="shared" si="183"/>
        <v>255.71999999999997</v>
      </c>
      <c r="AO305" s="1653">
        <f t="shared" si="184"/>
        <v>183.42</v>
      </c>
      <c r="AP305" s="2100" t="s">
        <v>161</v>
      </c>
      <c r="AQ305" s="1800">
        <f t="shared" si="185"/>
        <v>0</v>
      </c>
      <c r="AR305" s="1809">
        <f t="shared" si="186"/>
        <v>0</v>
      </c>
      <c r="AS305" s="124"/>
      <c r="AX305" s="4"/>
      <c r="AY305" s="142"/>
    </row>
    <row r="306" spans="2:51">
      <c r="B306" s="1184" t="s">
        <v>627</v>
      </c>
      <c r="C306" s="2570" t="s">
        <v>640</v>
      </c>
      <c r="D306" s="239">
        <v>15</v>
      </c>
      <c r="E306" s="486" t="s">
        <v>93</v>
      </c>
      <c r="F306" s="490">
        <v>158</v>
      </c>
      <c r="G306" s="235">
        <v>158</v>
      </c>
      <c r="H306" s="186" t="s">
        <v>57</v>
      </c>
      <c r="I306" s="251">
        <v>7</v>
      </c>
      <c r="J306" s="293">
        <v>7</v>
      </c>
      <c r="K306" s="1185" t="s">
        <v>628</v>
      </c>
      <c r="L306" s="68"/>
      <c r="M306" s="54"/>
      <c r="O306" s="2016" t="s">
        <v>912</v>
      </c>
      <c r="P306" s="2050">
        <f t="shared" ref="P306:U306" si="188">AB315</f>
        <v>0</v>
      </c>
      <c r="Q306" s="1598">
        <f t="shared" si="188"/>
        <v>0</v>
      </c>
      <c r="R306" s="2086">
        <f t="shared" si="188"/>
        <v>245.29</v>
      </c>
      <c r="S306" s="1598">
        <f t="shared" si="188"/>
        <v>197.3</v>
      </c>
      <c r="T306" s="1726">
        <f t="shared" si="188"/>
        <v>10</v>
      </c>
      <c r="U306" s="1598">
        <f t="shared" si="188"/>
        <v>8</v>
      </c>
      <c r="V306" s="2050">
        <f>P306+R306</f>
        <v>245.29</v>
      </c>
      <c r="W306" s="1597">
        <f t="shared" si="176"/>
        <v>197.3</v>
      </c>
      <c r="X306" s="2086">
        <f>R306+T306</f>
        <v>255.29</v>
      </c>
      <c r="Y306" s="1604">
        <f t="shared" si="178"/>
        <v>205.3</v>
      </c>
      <c r="AA306" s="2100" t="s">
        <v>155</v>
      </c>
      <c r="AB306" s="2083"/>
      <c r="AC306" s="842"/>
      <c r="AD306" s="2083">
        <f>F315+L319</f>
        <v>132.69999999999999</v>
      </c>
      <c r="AE306" s="1598">
        <f>G315+M319</f>
        <v>106.3</v>
      </c>
      <c r="AF306" s="1789"/>
      <c r="AG306" s="1681"/>
      <c r="AH306" s="1789">
        <f t="shared" si="179"/>
        <v>132.69999999999999</v>
      </c>
      <c r="AI306" s="1605">
        <f t="shared" si="180"/>
        <v>106.3</v>
      </c>
      <c r="AJ306" s="1789">
        <f t="shared" si="181"/>
        <v>132.69999999999999</v>
      </c>
      <c r="AK306" s="1585">
        <f t="shared" si="182"/>
        <v>106.3</v>
      </c>
      <c r="AM306" s="2016" t="s">
        <v>96</v>
      </c>
      <c r="AN306" s="2077">
        <f t="shared" si="183"/>
        <v>255.29</v>
      </c>
      <c r="AO306" s="1655">
        <f t="shared" si="184"/>
        <v>205.3</v>
      </c>
      <c r="AP306" s="2100" t="s">
        <v>155</v>
      </c>
      <c r="AQ306" s="1800">
        <f t="shared" si="185"/>
        <v>132.69999999999999</v>
      </c>
      <c r="AR306" s="1809">
        <f t="shared" si="186"/>
        <v>106.3</v>
      </c>
      <c r="AS306" s="124"/>
      <c r="AX306" s="4"/>
      <c r="AY306" s="352"/>
    </row>
    <row r="307" spans="2:51" ht="15.75" thickBot="1">
      <c r="B307" s="1474" t="s">
        <v>622</v>
      </c>
      <c r="C307" s="167" t="s">
        <v>104</v>
      </c>
      <c r="D307" s="428">
        <v>200</v>
      </c>
      <c r="E307" s="185" t="s">
        <v>57</v>
      </c>
      <c r="F307" s="233">
        <v>5.5</v>
      </c>
      <c r="G307" s="247">
        <v>5.5</v>
      </c>
      <c r="H307" s="185" t="s">
        <v>94</v>
      </c>
      <c r="I307" s="1051">
        <v>150</v>
      </c>
      <c r="J307" s="236"/>
      <c r="K307" s="879" t="s">
        <v>629</v>
      </c>
      <c r="L307" s="29"/>
      <c r="M307" s="74"/>
      <c r="O307" s="1943" t="s">
        <v>901</v>
      </c>
      <c r="P307" s="1727">
        <f t="shared" ref="P307:U307" si="189">AB322</f>
        <v>113.5</v>
      </c>
      <c r="Q307" s="1586">
        <f t="shared" si="189"/>
        <v>100</v>
      </c>
      <c r="R307" s="1727">
        <f t="shared" si="189"/>
        <v>0</v>
      </c>
      <c r="S307" s="1569">
        <f t="shared" si="189"/>
        <v>0</v>
      </c>
      <c r="T307" s="1727">
        <f t="shared" si="189"/>
        <v>42</v>
      </c>
      <c r="U307" s="1569">
        <f t="shared" si="189"/>
        <v>37</v>
      </c>
      <c r="V307" s="1727">
        <f>P307+R307</f>
        <v>113.5</v>
      </c>
      <c r="W307" s="1586">
        <f t="shared" si="176"/>
        <v>100</v>
      </c>
      <c r="X307" s="1727">
        <f>R307+T307</f>
        <v>42</v>
      </c>
      <c r="Y307" s="1585">
        <f t="shared" si="178"/>
        <v>37</v>
      </c>
      <c r="AA307" s="2100" t="s">
        <v>158</v>
      </c>
      <c r="AB307" s="1789"/>
      <c r="AC307" s="844"/>
      <c r="AD307" s="1789"/>
      <c r="AE307" s="1598"/>
      <c r="AF307" s="1789"/>
      <c r="AG307" s="1681"/>
      <c r="AH307" s="1789">
        <f t="shared" si="179"/>
        <v>0</v>
      </c>
      <c r="AI307" s="1605">
        <f t="shared" si="180"/>
        <v>0</v>
      </c>
      <c r="AJ307" s="1789">
        <f t="shared" si="181"/>
        <v>0</v>
      </c>
      <c r="AK307" s="1585">
        <f t="shared" si="182"/>
        <v>0</v>
      </c>
      <c r="AM307" s="1943" t="s">
        <v>901</v>
      </c>
      <c r="AN307" s="1743">
        <f t="shared" si="183"/>
        <v>155.5</v>
      </c>
      <c r="AO307" s="1653">
        <f t="shared" si="184"/>
        <v>137</v>
      </c>
      <c r="AP307" s="2100" t="s">
        <v>158</v>
      </c>
      <c r="AQ307" s="1800">
        <f t="shared" si="185"/>
        <v>0</v>
      </c>
      <c r="AR307" s="1809">
        <f t="shared" si="186"/>
        <v>0</v>
      </c>
      <c r="AS307" s="124"/>
      <c r="AX307" s="48"/>
      <c r="AY307" s="124"/>
    </row>
    <row r="308" spans="2:51" ht="15.75" thickBot="1">
      <c r="B308" s="246" t="s">
        <v>10</v>
      </c>
      <c r="C308" s="241" t="s">
        <v>11</v>
      </c>
      <c r="D308" s="284">
        <v>50</v>
      </c>
      <c r="E308" s="185" t="s">
        <v>97</v>
      </c>
      <c r="F308" s="271">
        <v>0.3</v>
      </c>
      <c r="G308" s="737">
        <v>0.3</v>
      </c>
      <c r="H308" s="61"/>
      <c r="J308" s="71"/>
      <c r="K308" s="263" t="s">
        <v>118</v>
      </c>
      <c r="L308" s="97" t="s">
        <v>119</v>
      </c>
      <c r="M308" s="135" t="s">
        <v>120</v>
      </c>
      <c r="O308" s="1947" t="s">
        <v>122</v>
      </c>
      <c r="P308" s="1727"/>
      <c r="Q308" s="1569"/>
      <c r="R308" s="1727"/>
      <c r="S308" s="1569"/>
      <c r="T308" s="1727"/>
      <c r="U308" s="1569"/>
      <c r="V308" s="1724">
        <f t="shared" si="175"/>
        <v>0</v>
      </c>
      <c r="W308" s="1586">
        <f t="shared" si="176"/>
        <v>0</v>
      </c>
      <c r="X308" s="1727">
        <f>R308+T308</f>
        <v>0</v>
      </c>
      <c r="Y308" s="1585">
        <f t="shared" si="178"/>
        <v>0</v>
      </c>
      <c r="AA308" s="2100" t="s">
        <v>101</v>
      </c>
      <c r="AB308" s="1789"/>
      <c r="AC308" s="844"/>
      <c r="AD308" s="1969">
        <f>F319+I322</f>
        <v>25.09</v>
      </c>
      <c r="AE308" s="1598">
        <f>G319+J322</f>
        <v>21</v>
      </c>
      <c r="AF308" s="1789">
        <f>F335</f>
        <v>10</v>
      </c>
      <c r="AG308" s="1681">
        <f>G335</f>
        <v>8</v>
      </c>
      <c r="AH308" s="1789">
        <f t="shared" si="179"/>
        <v>25.09</v>
      </c>
      <c r="AI308" s="1605">
        <f t="shared" si="180"/>
        <v>21</v>
      </c>
      <c r="AJ308" s="1789">
        <f t="shared" si="181"/>
        <v>35.090000000000003</v>
      </c>
      <c r="AK308" s="1585">
        <f t="shared" si="182"/>
        <v>29</v>
      </c>
      <c r="AM308" s="1947" t="s">
        <v>122</v>
      </c>
      <c r="AN308" s="1743">
        <f t="shared" si="183"/>
        <v>0</v>
      </c>
      <c r="AO308" s="1653">
        <f t="shared" si="184"/>
        <v>0</v>
      </c>
      <c r="AP308" s="2100" t="s">
        <v>101</v>
      </c>
      <c r="AQ308" s="1800">
        <f t="shared" si="185"/>
        <v>35.090000000000003</v>
      </c>
      <c r="AR308" s="1809">
        <f t="shared" si="186"/>
        <v>29</v>
      </c>
      <c r="AS308" s="124"/>
      <c r="AX308" s="4"/>
    </row>
    <row r="309" spans="2:51">
      <c r="B309" s="246" t="s">
        <v>10</v>
      </c>
      <c r="C309" s="241" t="s">
        <v>792</v>
      </c>
      <c r="D309" s="284">
        <v>30</v>
      </c>
      <c r="E309" s="301" t="s">
        <v>94</v>
      </c>
      <c r="F309" s="302">
        <v>3.5</v>
      </c>
      <c r="G309" s="323">
        <v>3.5</v>
      </c>
      <c r="H309" s="1135"/>
      <c r="J309" s="71"/>
      <c r="K309" s="98" t="s">
        <v>641</v>
      </c>
      <c r="L309" s="123">
        <v>15.6</v>
      </c>
      <c r="M309" s="309">
        <v>15</v>
      </c>
      <c r="O309" s="1993" t="s">
        <v>313</v>
      </c>
      <c r="P309" s="1724"/>
      <c r="Q309" s="1569"/>
      <c r="R309" s="1724">
        <f>D320</f>
        <v>200</v>
      </c>
      <c r="S309" s="1569">
        <f>D320</f>
        <v>200</v>
      </c>
      <c r="T309" s="1724"/>
      <c r="U309" s="1569"/>
      <c r="V309" s="1724">
        <f t="shared" si="175"/>
        <v>200</v>
      </c>
      <c r="W309" s="1586">
        <f t="shared" si="176"/>
        <v>200</v>
      </c>
      <c r="X309" s="1724">
        <f t="shared" si="177"/>
        <v>200</v>
      </c>
      <c r="Y309" s="1585">
        <f t="shared" si="178"/>
        <v>200</v>
      </c>
      <c r="AA309" s="2100" t="s">
        <v>79</v>
      </c>
      <c r="AB309" s="1789"/>
      <c r="AC309" s="842"/>
      <c r="AD309" s="1969">
        <f>F318+L323</f>
        <v>87.5</v>
      </c>
      <c r="AE309" s="1597">
        <f>G318+M323</f>
        <v>70</v>
      </c>
      <c r="AF309" s="1789"/>
      <c r="AG309" s="1681"/>
      <c r="AH309" s="1789">
        <f t="shared" si="179"/>
        <v>87.5</v>
      </c>
      <c r="AI309" s="1605">
        <f t="shared" si="180"/>
        <v>70</v>
      </c>
      <c r="AJ309" s="1789">
        <f t="shared" si="181"/>
        <v>87.5</v>
      </c>
      <c r="AK309" s="1585">
        <f t="shared" si="182"/>
        <v>70</v>
      </c>
      <c r="AM309" s="1993" t="s">
        <v>163</v>
      </c>
      <c r="AN309" s="1743">
        <f t="shared" si="183"/>
        <v>200</v>
      </c>
      <c r="AO309" s="1653">
        <f t="shared" si="184"/>
        <v>200</v>
      </c>
      <c r="AP309" s="2100" t="s">
        <v>79</v>
      </c>
      <c r="AQ309" s="1800">
        <f t="shared" si="185"/>
        <v>87.5</v>
      </c>
      <c r="AR309" s="1809">
        <f t="shared" si="186"/>
        <v>70</v>
      </c>
      <c r="AS309" s="124"/>
      <c r="AX309" s="91"/>
    </row>
    <row r="310" spans="2:51">
      <c r="B310" s="266" t="s">
        <v>1004</v>
      </c>
      <c r="C310" s="241" t="s">
        <v>1003</v>
      </c>
      <c r="D310" s="284">
        <v>100</v>
      </c>
      <c r="E310" s="185" t="s">
        <v>95</v>
      </c>
      <c r="F310" s="233">
        <v>11</v>
      </c>
      <c r="G310" s="235">
        <v>11</v>
      </c>
      <c r="H310" s="319"/>
      <c r="I310" s="87"/>
      <c r="J310" s="318"/>
      <c r="K310" s="61"/>
      <c r="M310" s="71"/>
      <c r="O310" s="560" t="s">
        <v>895</v>
      </c>
      <c r="P310" s="1724">
        <f t="shared" ref="P310:U310" si="190">AB325</f>
        <v>0</v>
      </c>
      <c r="Q310" s="1569">
        <f t="shared" si="190"/>
        <v>0</v>
      </c>
      <c r="R310" s="1724">
        <f t="shared" si="190"/>
        <v>0</v>
      </c>
      <c r="S310" s="1569">
        <f t="shared" si="190"/>
        <v>0</v>
      </c>
      <c r="T310" s="1724">
        <f t="shared" si="190"/>
        <v>18.350000000000001</v>
      </c>
      <c r="U310" s="1569">
        <f t="shared" si="190"/>
        <v>15.6</v>
      </c>
      <c r="V310" s="1724">
        <f t="shared" si="175"/>
        <v>0</v>
      </c>
      <c r="W310" s="1586">
        <f t="shared" si="176"/>
        <v>0</v>
      </c>
      <c r="X310" s="1724">
        <f t="shared" si="177"/>
        <v>18.350000000000001</v>
      </c>
      <c r="Y310" s="1585">
        <f t="shared" si="178"/>
        <v>15.6</v>
      </c>
      <c r="AA310" s="2100" t="s">
        <v>86</v>
      </c>
      <c r="AB310" s="1789"/>
      <c r="AC310" s="845"/>
      <c r="AD310" s="1789"/>
      <c r="AE310" s="1597"/>
      <c r="AF310" s="1789"/>
      <c r="AG310" s="1681"/>
      <c r="AH310" s="1789">
        <f t="shared" si="179"/>
        <v>0</v>
      </c>
      <c r="AI310" s="1605">
        <f t="shared" si="180"/>
        <v>0</v>
      </c>
      <c r="AJ310" s="1789">
        <f t="shared" si="181"/>
        <v>0</v>
      </c>
      <c r="AK310" s="1585">
        <f t="shared" si="182"/>
        <v>0</v>
      </c>
      <c r="AM310" s="560" t="s">
        <v>895</v>
      </c>
      <c r="AN310" s="1743">
        <f t="shared" si="183"/>
        <v>18.350000000000001</v>
      </c>
      <c r="AO310" s="1653">
        <f t="shared" si="184"/>
        <v>15.6</v>
      </c>
      <c r="AP310" s="2100" t="s">
        <v>86</v>
      </c>
      <c r="AQ310" s="1800">
        <f t="shared" si="185"/>
        <v>0</v>
      </c>
      <c r="AR310" s="1809">
        <f t="shared" si="186"/>
        <v>0</v>
      </c>
      <c r="AS310" s="142"/>
      <c r="AX310" s="4"/>
    </row>
    <row r="311" spans="2:51" ht="16.5" thickBot="1">
      <c r="B311" s="1141" t="s">
        <v>582</v>
      </c>
      <c r="C311" s="687"/>
      <c r="D311" s="1171">
        <f>SUM(D304:D310)</f>
        <v>595</v>
      </c>
      <c r="E311" s="474"/>
      <c r="F311" s="900"/>
      <c r="G311" s="902"/>
      <c r="H311" s="57"/>
      <c r="I311" s="29"/>
      <c r="J311" s="74"/>
      <c r="K311" s="57"/>
      <c r="L311" s="29"/>
      <c r="M311" s="74"/>
      <c r="O311" s="1944" t="s">
        <v>894</v>
      </c>
      <c r="P311" s="1724">
        <f t="shared" ref="P311:U311" si="191">AB329</f>
        <v>0</v>
      </c>
      <c r="Q311" s="1586">
        <f t="shared" si="191"/>
        <v>0</v>
      </c>
      <c r="R311" s="1724">
        <f t="shared" si="191"/>
        <v>2.9449999999999998</v>
      </c>
      <c r="S311" s="1586">
        <f t="shared" si="191"/>
        <v>2.5</v>
      </c>
      <c r="T311" s="1724">
        <f t="shared" si="191"/>
        <v>11.92</v>
      </c>
      <c r="U311" s="1586">
        <f t="shared" si="191"/>
        <v>10.6</v>
      </c>
      <c r="V311" s="1724">
        <f t="shared" si="175"/>
        <v>2.9449999999999998</v>
      </c>
      <c r="W311" s="1586">
        <f t="shared" si="176"/>
        <v>2.5</v>
      </c>
      <c r="X311" s="1724">
        <f t="shared" si="177"/>
        <v>14.865</v>
      </c>
      <c r="Y311" s="1585">
        <f t="shared" si="178"/>
        <v>13.1</v>
      </c>
      <c r="AA311" s="2100" t="s">
        <v>160</v>
      </c>
      <c r="AB311" s="1789"/>
      <c r="AC311" s="846"/>
      <c r="AD311" s="1789"/>
      <c r="AE311" s="1598"/>
      <c r="AF311" s="1789"/>
      <c r="AG311" s="1681"/>
      <c r="AH311" s="1789">
        <f t="shared" si="179"/>
        <v>0</v>
      </c>
      <c r="AI311" s="1605">
        <f t="shared" si="180"/>
        <v>0</v>
      </c>
      <c r="AJ311" s="1789">
        <f t="shared" si="181"/>
        <v>0</v>
      </c>
      <c r="AK311" s="1585">
        <f t="shared" si="182"/>
        <v>0</v>
      </c>
      <c r="AM311" s="1944" t="s">
        <v>894</v>
      </c>
      <c r="AN311" s="1743">
        <f t="shared" si="183"/>
        <v>14.865</v>
      </c>
      <c r="AO311" s="1653">
        <f t="shared" si="184"/>
        <v>13.1</v>
      </c>
      <c r="AP311" s="2100" t="s">
        <v>160</v>
      </c>
      <c r="AQ311" s="1800">
        <f t="shared" si="185"/>
        <v>0</v>
      </c>
      <c r="AR311" s="1809">
        <f t="shared" si="186"/>
        <v>0</v>
      </c>
      <c r="AX311" s="2089"/>
    </row>
    <row r="312" spans="2:51" ht="15.75" thickBot="1">
      <c r="B312" s="403"/>
      <c r="C312" s="162" t="s">
        <v>152</v>
      </c>
      <c r="D312" s="54"/>
      <c r="E312" s="1178" t="s">
        <v>616</v>
      </c>
      <c r="F312" s="179"/>
      <c r="G312" s="1173"/>
      <c r="H312" s="1178" t="s">
        <v>613</v>
      </c>
      <c r="I312" s="472"/>
      <c r="J312" s="491"/>
      <c r="K312" s="881" t="s">
        <v>411</v>
      </c>
      <c r="L312" s="179"/>
      <c r="M312" s="882"/>
      <c r="O312" s="1944" t="s">
        <v>150</v>
      </c>
      <c r="P312" s="1724"/>
      <c r="Q312" s="1586"/>
      <c r="R312" s="1724"/>
      <c r="S312" s="1569"/>
      <c r="T312" s="1727"/>
      <c r="U312" s="1569"/>
      <c r="V312" s="1724">
        <f t="shared" si="175"/>
        <v>0</v>
      </c>
      <c r="W312" s="1586">
        <f t="shared" si="176"/>
        <v>0</v>
      </c>
      <c r="X312" s="1724">
        <f t="shared" si="177"/>
        <v>0</v>
      </c>
      <c r="Y312" s="1585">
        <f t="shared" si="178"/>
        <v>0</v>
      </c>
      <c r="AA312" s="2100" t="s">
        <v>157</v>
      </c>
      <c r="AB312" s="2048"/>
      <c r="AC312" s="846"/>
      <c r="AD312" s="1969"/>
      <c r="AE312" s="1598"/>
      <c r="AF312" s="1789"/>
      <c r="AG312" s="1681"/>
      <c r="AH312" s="1789">
        <f t="shared" si="179"/>
        <v>0</v>
      </c>
      <c r="AI312" s="1605">
        <f t="shared" si="180"/>
        <v>0</v>
      </c>
      <c r="AJ312" s="1789">
        <f t="shared" si="181"/>
        <v>0</v>
      </c>
      <c r="AK312" s="1585">
        <f t="shared" si="182"/>
        <v>0</v>
      </c>
      <c r="AM312" s="1944" t="s">
        <v>150</v>
      </c>
      <c r="AN312" s="1743">
        <f t="shared" si="183"/>
        <v>0</v>
      </c>
      <c r="AO312" s="1653">
        <f t="shared" si="184"/>
        <v>0</v>
      </c>
      <c r="AP312" s="2100" t="s">
        <v>157</v>
      </c>
      <c r="AQ312" s="1800">
        <f t="shared" si="185"/>
        <v>0</v>
      </c>
      <c r="AR312" s="1809">
        <f t="shared" si="186"/>
        <v>0</v>
      </c>
    </row>
    <row r="313" spans="2:51" ht="15.75" thickBot="1">
      <c r="B313" s="1184" t="s">
        <v>659</v>
      </c>
      <c r="C313" s="283" t="s">
        <v>658</v>
      </c>
      <c r="D313" s="239">
        <v>60</v>
      </c>
      <c r="E313" s="623" t="s">
        <v>617</v>
      </c>
      <c r="F313" s="1174"/>
      <c r="G313" s="1175"/>
      <c r="H313" s="203" t="s">
        <v>607</v>
      </c>
      <c r="I313" s="143"/>
      <c r="J313" s="1239"/>
      <c r="K313" s="307" t="s">
        <v>118</v>
      </c>
      <c r="L313" s="102" t="s">
        <v>119</v>
      </c>
      <c r="M313" s="133" t="s">
        <v>120</v>
      </c>
      <c r="O313" s="1944" t="s">
        <v>75</v>
      </c>
      <c r="P313" s="1724"/>
      <c r="Q313" s="1569"/>
      <c r="R313" s="1724">
        <f>I315</f>
        <v>97.828999999999994</v>
      </c>
      <c r="S313" s="1569">
        <f>J315</f>
        <v>79.2</v>
      </c>
      <c r="T313" s="1724"/>
      <c r="U313" s="1569"/>
      <c r="V313" s="1724">
        <f t="shared" si="175"/>
        <v>97.828999999999994</v>
      </c>
      <c r="W313" s="1586">
        <f t="shared" si="176"/>
        <v>79.2</v>
      </c>
      <c r="X313" s="1724">
        <f t="shared" si="177"/>
        <v>97.828999999999994</v>
      </c>
      <c r="Y313" s="1585">
        <f t="shared" si="178"/>
        <v>79.2</v>
      </c>
      <c r="AA313" s="2100" t="s">
        <v>156</v>
      </c>
      <c r="AB313" s="444"/>
      <c r="AC313" s="845"/>
      <c r="AD313" s="1789"/>
      <c r="AE313" s="1598"/>
      <c r="AF313" s="1789"/>
      <c r="AG313" s="1681"/>
      <c r="AH313" s="1789">
        <f t="shared" si="179"/>
        <v>0</v>
      </c>
      <c r="AI313" s="1605">
        <f t="shared" si="180"/>
        <v>0</v>
      </c>
      <c r="AJ313" s="1789">
        <f t="shared" si="181"/>
        <v>0</v>
      </c>
      <c r="AK313" s="1585">
        <f t="shared" si="182"/>
        <v>0</v>
      </c>
      <c r="AM313" s="1944" t="s">
        <v>75</v>
      </c>
      <c r="AN313" s="1743">
        <f t="shared" si="183"/>
        <v>97.828999999999994</v>
      </c>
      <c r="AO313" s="1653">
        <f t="shared" si="184"/>
        <v>79.2</v>
      </c>
      <c r="AP313" s="2100" t="s">
        <v>156</v>
      </c>
      <c r="AQ313" s="1800">
        <f t="shared" si="185"/>
        <v>0</v>
      </c>
      <c r="AR313" s="1809">
        <f t="shared" si="186"/>
        <v>0</v>
      </c>
    </row>
    <row r="314" spans="2:51" ht="12.75" customHeight="1" thickBot="1">
      <c r="B314" s="1172" t="s">
        <v>836</v>
      </c>
      <c r="C314" s="283" t="s">
        <v>616</v>
      </c>
      <c r="D314" s="166">
        <v>250</v>
      </c>
      <c r="E314" s="1069" t="s">
        <v>118</v>
      </c>
      <c r="F314" s="252" t="s">
        <v>119</v>
      </c>
      <c r="G314" s="335" t="s">
        <v>120</v>
      </c>
      <c r="H314" s="313" t="s">
        <v>118</v>
      </c>
      <c r="I314" s="97" t="s">
        <v>119</v>
      </c>
      <c r="J314" s="135" t="s">
        <v>120</v>
      </c>
      <c r="K314" s="100" t="s">
        <v>52</v>
      </c>
      <c r="L314" s="1057">
        <v>129.07</v>
      </c>
      <c r="M314" s="1058">
        <v>96.8</v>
      </c>
      <c r="O314" s="1049" t="s">
        <v>68</v>
      </c>
      <c r="P314" s="1724">
        <f>F306</f>
        <v>158</v>
      </c>
      <c r="Q314" s="2021">
        <f>G306</f>
        <v>158</v>
      </c>
      <c r="R314" s="1970">
        <f>I319+L315</f>
        <v>60.1</v>
      </c>
      <c r="S314" s="1600">
        <f>M315+J319</f>
        <v>59</v>
      </c>
      <c r="T314" s="1724">
        <f>I333</f>
        <v>24</v>
      </c>
      <c r="U314" s="1600">
        <f>J333</f>
        <v>24</v>
      </c>
      <c r="V314" s="1724">
        <f t="shared" si="175"/>
        <v>218.1</v>
      </c>
      <c r="W314" s="1586">
        <f t="shared" si="176"/>
        <v>217</v>
      </c>
      <c r="X314" s="1724">
        <f t="shared" si="177"/>
        <v>84.1</v>
      </c>
      <c r="Y314" s="1585">
        <f t="shared" si="178"/>
        <v>83</v>
      </c>
      <c r="AA314" s="2101" t="s">
        <v>545</v>
      </c>
      <c r="AB314" s="1779"/>
      <c r="AC314" s="1710"/>
      <c r="AD314" s="1790"/>
      <c r="AE314" s="2005"/>
      <c r="AF314" s="1790"/>
      <c r="AG314" s="2006"/>
      <c r="AH314" s="1790">
        <f t="shared" si="179"/>
        <v>0</v>
      </c>
      <c r="AI314" s="2102">
        <f t="shared" si="180"/>
        <v>0</v>
      </c>
      <c r="AJ314" s="1790">
        <f t="shared" si="181"/>
        <v>0</v>
      </c>
      <c r="AK314" s="1814">
        <f t="shared" si="182"/>
        <v>0</v>
      </c>
      <c r="AM314" s="1944" t="s">
        <v>68</v>
      </c>
      <c r="AN314" s="2091">
        <f>P314+R314+T314</f>
        <v>242.1</v>
      </c>
      <c r="AO314" s="1653">
        <f t="shared" si="184"/>
        <v>241</v>
      </c>
      <c r="AP314" s="2100" t="s">
        <v>545</v>
      </c>
      <c r="AQ314" s="1800">
        <f t="shared" si="185"/>
        <v>0</v>
      </c>
      <c r="AR314" s="1809">
        <f t="shared" si="186"/>
        <v>0</v>
      </c>
    </row>
    <row r="315" spans="2:51" ht="15.75" thickBot="1">
      <c r="B315" s="168"/>
      <c r="C315" s="1100" t="s">
        <v>617</v>
      </c>
      <c r="D315" s="11"/>
      <c r="E315" s="100" t="s">
        <v>609</v>
      </c>
      <c r="F315" s="123">
        <v>37.5</v>
      </c>
      <c r="G315" s="264">
        <v>30</v>
      </c>
      <c r="H315" s="100" t="s">
        <v>614</v>
      </c>
      <c r="I315" s="177">
        <v>97.828999999999994</v>
      </c>
      <c r="J315" s="264">
        <v>79.2</v>
      </c>
      <c r="K315" s="185" t="s">
        <v>93</v>
      </c>
      <c r="L315" s="233">
        <v>17.600000000000001</v>
      </c>
      <c r="M315" s="247">
        <v>16.5</v>
      </c>
      <c r="O315" s="1049" t="s">
        <v>170</v>
      </c>
      <c r="P315" s="1724"/>
      <c r="Q315" s="1569"/>
      <c r="R315" s="1724"/>
      <c r="S315" s="1569"/>
      <c r="T315" s="1724"/>
      <c r="U315" s="1569"/>
      <c r="V315" s="1724">
        <f t="shared" si="175"/>
        <v>0</v>
      </c>
      <c r="W315" s="1586">
        <f t="shared" si="176"/>
        <v>0</v>
      </c>
      <c r="X315" s="1724">
        <f t="shared" si="177"/>
        <v>0</v>
      </c>
      <c r="Y315" s="1585">
        <f t="shared" si="178"/>
        <v>0</v>
      </c>
      <c r="AA315" s="2013" t="s">
        <v>96</v>
      </c>
      <c r="AB315" s="2084">
        <f t="shared" ref="AB315:AG315" si="192">SUM(AB300:AB314)</f>
        <v>0</v>
      </c>
      <c r="AC315" s="2014">
        <f t="shared" si="192"/>
        <v>0</v>
      </c>
      <c r="AD315" s="1964">
        <f t="shared" si="192"/>
        <v>245.29</v>
      </c>
      <c r="AE315" s="2012">
        <f t="shared" si="192"/>
        <v>197.3</v>
      </c>
      <c r="AF315" s="1964">
        <f t="shared" si="192"/>
        <v>10</v>
      </c>
      <c r="AG315" s="2012">
        <f t="shared" si="192"/>
        <v>8</v>
      </c>
      <c r="AH315" s="1964">
        <f>AB315+AD315</f>
        <v>245.29</v>
      </c>
      <c r="AI315" s="2103">
        <f t="shared" si="180"/>
        <v>197.3</v>
      </c>
      <c r="AJ315" s="1964">
        <f>AD315+AF315</f>
        <v>255.29</v>
      </c>
      <c r="AK315" s="1717">
        <f>SUM(AK300:AK314)</f>
        <v>205.3</v>
      </c>
      <c r="AM315" s="1944" t="s">
        <v>170</v>
      </c>
      <c r="AN315" s="1743">
        <f t="shared" si="183"/>
        <v>0</v>
      </c>
      <c r="AO315" s="1047">
        <f t="shared" si="184"/>
        <v>0</v>
      </c>
      <c r="AP315" s="2113" t="s">
        <v>96</v>
      </c>
      <c r="AQ315" s="1800">
        <f>AB315+AD315+AF315</f>
        <v>255.29</v>
      </c>
      <c r="AR315" s="1809">
        <f t="shared" si="186"/>
        <v>205.3</v>
      </c>
    </row>
    <row r="316" spans="2:51" ht="14.25" customHeight="1" thickBot="1">
      <c r="B316" s="478" t="s">
        <v>606</v>
      </c>
      <c r="C316" s="283" t="s">
        <v>613</v>
      </c>
      <c r="D316" s="328" t="s">
        <v>608</v>
      </c>
      <c r="E316" s="185" t="s">
        <v>52</v>
      </c>
      <c r="F316" s="233">
        <v>33.450000000000003</v>
      </c>
      <c r="G316" s="235">
        <v>25</v>
      </c>
      <c r="H316" s="185" t="s">
        <v>92</v>
      </c>
      <c r="I316" s="256">
        <v>3.3</v>
      </c>
      <c r="J316" s="257">
        <v>3.3</v>
      </c>
      <c r="K316" s="185" t="s">
        <v>408</v>
      </c>
      <c r="L316" s="233">
        <v>3.3</v>
      </c>
      <c r="M316" s="247">
        <v>3.3</v>
      </c>
      <c r="O316" s="1049" t="s">
        <v>73</v>
      </c>
      <c r="P316" s="1724"/>
      <c r="Q316" s="1587"/>
      <c r="R316" s="1724"/>
      <c r="S316" s="1587"/>
      <c r="T316" s="1727"/>
      <c r="U316" s="1587"/>
      <c r="V316" s="1724">
        <f t="shared" si="175"/>
        <v>0</v>
      </c>
      <c r="W316" s="1586">
        <f t="shared" si="176"/>
        <v>0</v>
      </c>
      <c r="X316" s="1724">
        <f t="shared" si="177"/>
        <v>0</v>
      </c>
      <c r="Y316" s="1585">
        <f t="shared" si="178"/>
        <v>0</v>
      </c>
      <c r="AA316" s="2104" t="s">
        <v>166</v>
      </c>
      <c r="AB316" s="2105"/>
      <c r="AC316" s="2106"/>
      <c r="AD316" s="2107">
        <f>F315+F318+F319+I322+L319+L323</f>
        <v>245.29000000000002</v>
      </c>
      <c r="AE316" s="2108">
        <f>G315+G318+G319+J3225+M319+M323+J322</f>
        <v>197.3</v>
      </c>
      <c r="AF316" s="2109"/>
      <c r="AG316" s="2110"/>
      <c r="AH316" s="1825">
        <f t="shared" ref="AH316" si="193">AB316+AD316</f>
        <v>245.29000000000002</v>
      </c>
      <c r="AI316" s="2111"/>
      <c r="AJ316" s="1825">
        <f t="shared" ref="AJ316" si="194">AD316+AF316</f>
        <v>245.29000000000002</v>
      </c>
      <c r="AK316" s="2093"/>
      <c r="AM316" s="1944" t="s">
        <v>73</v>
      </c>
      <c r="AN316" s="1743">
        <f t="shared" si="183"/>
        <v>0</v>
      </c>
      <c r="AO316" s="1047">
        <f t="shared" si="184"/>
        <v>0</v>
      </c>
      <c r="AP316" s="2114" t="s">
        <v>166</v>
      </c>
      <c r="AQ316" s="2115">
        <f t="shared" si="185"/>
        <v>245.29000000000002</v>
      </c>
      <c r="AR316" s="2116"/>
    </row>
    <row r="317" spans="2:51" ht="14.25" customHeight="1">
      <c r="B317" s="168"/>
      <c r="C317" s="1100" t="s">
        <v>607</v>
      </c>
      <c r="D317" s="11"/>
      <c r="E317" s="185" t="s">
        <v>84</v>
      </c>
      <c r="F317" s="234">
        <v>5</v>
      </c>
      <c r="G317" s="269">
        <v>5</v>
      </c>
      <c r="H317" s="185" t="s">
        <v>103</v>
      </c>
      <c r="I317" s="256">
        <v>5</v>
      </c>
      <c r="J317" s="257">
        <v>5</v>
      </c>
      <c r="K317" s="185" t="s">
        <v>61</v>
      </c>
      <c r="L317" s="1053">
        <v>0.8</v>
      </c>
      <c r="M317" s="1054">
        <v>0.8</v>
      </c>
      <c r="O317" s="1049" t="s">
        <v>54</v>
      </c>
      <c r="P317" s="1724">
        <f>L309</f>
        <v>15.6</v>
      </c>
      <c r="Q317" s="1587">
        <f>M309</f>
        <v>15</v>
      </c>
      <c r="R317" s="1966"/>
      <c r="S317" s="1587"/>
      <c r="T317" s="1724">
        <f>F338</f>
        <v>3.1</v>
      </c>
      <c r="U317" s="1587">
        <f>G338</f>
        <v>3</v>
      </c>
      <c r="V317" s="1724">
        <f t="shared" si="175"/>
        <v>15.6</v>
      </c>
      <c r="W317" s="1586">
        <f t="shared" si="176"/>
        <v>15</v>
      </c>
      <c r="X317" s="1724">
        <f t="shared" si="177"/>
        <v>3.1</v>
      </c>
      <c r="Y317" s="1585">
        <f t="shared" si="178"/>
        <v>3</v>
      </c>
      <c r="AA317" s="2094" t="s">
        <v>878</v>
      </c>
      <c r="AB317" s="2095"/>
      <c r="AC317" s="2096"/>
      <c r="AD317" s="1778"/>
      <c r="AE317" s="1815"/>
      <c r="AF317" s="1778"/>
      <c r="AG317" s="2097"/>
      <c r="AH317" s="1788"/>
      <c r="AI317" s="2098"/>
      <c r="AJ317" s="1788"/>
      <c r="AK317" s="1603"/>
      <c r="AM317" s="1944" t="s">
        <v>54</v>
      </c>
      <c r="AN317" s="1743">
        <f t="shared" si="183"/>
        <v>18.7</v>
      </c>
      <c r="AO317" s="857">
        <f t="shared" si="184"/>
        <v>18</v>
      </c>
      <c r="AP317" s="2118" t="s">
        <v>878</v>
      </c>
      <c r="AQ317" s="1829">
        <f>AB317+AD317+AF317</f>
        <v>0</v>
      </c>
      <c r="AR317" s="752">
        <f>AC317+AE317+AG317</f>
        <v>0</v>
      </c>
    </row>
    <row r="318" spans="2:51">
      <c r="B318" s="1045" t="s">
        <v>323</v>
      </c>
      <c r="C318" s="1545" t="s">
        <v>610</v>
      </c>
      <c r="D318" s="1003" t="s">
        <v>516</v>
      </c>
      <c r="E318" s="185" t="s">
        <v>109</v>
      </c>
      <c r="F318" s="233">
        <v>12.5</v>
      </c>
      <c r="G318" s="235">
        <v>10</v>
      </c>
      <c r="H318" s="185" t="s">
        <v>108</v>
      </c>
      <c r="I318" s="234">
        <v>4.5999999999999996</v>
      </c>
      <c r="J318" s="269">
        <v>4.5999999999999996</v>
      </c>
      <c r="K318" s="1159" t="s">
        <v>618</v>
      </c>
      <c r="M318" s="71"/>
      <c r="O318" s="1049" t="s">
        <v>78</v>
      </c>
      <c r="P318" s="1966"/>
      <c r="Q318" s="1630"/>
      <c r="R318" s="1724">
        <f>I318</f>
        <v>4.5999999999999996</v>
      </c>
      <c r="S318" s="1587">
        <f>J318</f>
        <v>4.5999999999999996</v>
      </c>
      <c r="T318" s="1724">
        <f>I332</f>
        <v>2</v>
      </c>
      <c r="U318" s="1587">
        <f>J332</f>
        <v>2</v>
      </c>
      <c r="V318" s="1724">
        <f t="shared" si="175"/>
        <v>4.5999999999999996</v>
      </c>
      <c r="W318" s="1586">
        <f t="shared" si="176"/>
        <v>4.5999999999999996</v>
      </c>
      <c r="X318" s="1724">
        <f t="shared" si="177"/>
        <v>6.6</v>
      </c>
      <c r="Y318" s="1585">
        <f t="shared" si="178"/>
        <v>6.6</v>
      </c>
      <c r="AA318" s="1873" t="s">
        <v>879</v>
      </c>
      <c r="AB318" s="1777">
        <f>L304</f>
        <v>113.5</v>
      </c>
      <c r="AC318" s="1878">
        <f>M304</f>
        <v>100</v>
      </c>
      <c r="AD318" s="1680"/>
      <c r="AE318" s="1882"/>
      <c r="AF318" s="1789">
        <f>L328</f>
        <v>42</v>
      </c>
      <c r="AG318" s="1886">
        <f>M328</f>
        <v>37</v>
      </c>
      <c r="AH318" s="1789">
        <f t="shared" ref="AH318:AH322" si="195">AB318+AD318</f>
        <v>113.5</v>
      </c>
      <c r="AI318" s="1890">
        <f>AC318+AE318</f>
        <v>100</v>
      </c>
      <c r="AJ318" s="1789">
        <f t="shared" ref="AJ318:AJ322" si="196">AD318+AF318</f>
        <v>42</v>
      </c>
      <c r="AK318" s="1893">
        <f>AE318+AG318</f>
        <v>37</v>
      </c>
      <c r="AM318" s="1944" t="s">
        <v>78</v>
      </c>
      <c r="AN318" s="1743">
        <f t="shared" si="183"/>
        <v>6.6</v>
      </c>
      <c r="AO318" s="857">
        <f t="shared" si="184"/>
        <v>6.6</v>
      </c>
      <c r="AP318" s="1660" t="s">
        <v>879</v>
      </c>
      <c r="AQ318" s="1840">
        <f>AB318+AD318+AF318</f>
        <v>155.5</v>
      </c>
      <c r="AR318" s="1667">
        <f>AC318+AE318+AG318</f>
        <v>137</v>
      </c>
    </row>
    <row r="319" spans="2:51" ht="15" customHeight="1">
      <c r="B319" s="404" t="s">
        <v>843</v>
      </c>
      <c r="C319" s="1544" t="s">
        <v>611</v>
      </c>
      <c r="E319" s="185" t="s">
        <v>236</v>
      </c>
      <c r="F319" s="234">
        <v>12</v>
      </c>
      <c r="G319" s="269">
        <v>10</v>
      </c>
      <c r="H319" s="185" t="s">
        <v>93</v>
      </c>
      <c r="I319" s="233">
        <v>42.5</v>
      </c>
      <c r="J319" s="247">
        <v>42.5</v>
      </c>
      <c r="K319" s="1060" t="s">
        <v>172</v>
      </c>
      <c r="L319" s="250">
        <v>95.2</v>
      </c>
      <c r="M319" s="236">
        <v>76.3</v>
      </c>
      <c r="O319" s="1049" t="s">
        <v>95</v>
      </c>
      <c r="P319" s="1966">
        <f>F310</f>
        <v>11</v>
      </c>
      <c r="Q319" s="1586">
        <f>G310</f>
        <v>11</v>
      </c>
      <c r="R319" s="1724">
        <f>F320+I323+L316</f>
        <v>9.3999999999999986</v>
      </c>
      <c r="S319" s="1586">
        <f>G320+J323+M316</f>
        <v>9.3999999999999986</v>
      </c>
      <c r="T319" s="1724">
        <f>F334+I330</f>
        <v>3.19</v>
      </c>
      <c r="U319" s="1586">
        <f>G334+J330</f>
        <v>3.19</v>
      </c>
      <c r="V319" s="1724">
        <f t="shared" si="175"/>
        <v>20.399999999999999</v>
      </c>
      <c r="W319" s="1586">
        <f t="shared" si="176"/>
        <v>20.399999999999999</v>
      </c>
      <c r="X319" s="1724">
        <f t="shared" si="177"/>
        <v>12.589999999999998</v>
      </c>
      <c r="Y319" s="1585">
        <f t="shared" si="178"/>
        <v>12.589999999999998</v>
      </c>
      <c r="AA319" s="1874" t="s">
        <v>880</v>
      </c>
      <c r="AB319" s="1782"/>
      <c r="AC319" s="1879"/>
      <c r="AD319" s="444"/>
      <c r="AE319" s="1883"/>
      <c r="AF319" s="1793"/>
      <c r="AG319" s="1887"/>
      <c r="AH319" s="1789">
        <f t="shared" si="195"/>
        <v>0</v>
      </c>
      <c r="AI319" s="1890">
        <f>AC319+AE319</f>
        <v>0</v>
      </c>
      <c r="AJ319" s="1789">
        <f t="shared" si="196"/>
        <v>0</v>
      </c>
      <c r="AK319" s="1893">
        <f>AE319+AG319</f>
        <v>0</v>
      </c>
      <c r="AM319" s="1944" t="s">
        <v>95</v>
      </c>
      <c r="AN319" s="1743">
        <f t="shared" si="183"/>
        <v>23.59</v>
      </c>
      <c r="AO319" s="857">
        <f t="shared" si="184"/>
        <v>23.59</v>
      </c>
      <c r="AP319" s="1661" t="s">
        <v>880</v>
      </c>
      <c r="AQ319" s="1840">
        <f t="shared" ref="AQ319:AQ340" si="197">AB319+AD319+AF319</f>
        <v>0</v>
      </c>
      <c r="AR319" s="1667">
        <f t="shared" ref="AR319:AR341" si="198">AC319+AE319+AG319</f>
        <v>0</v>
      </c>
    </row>
    <row r="320" spans="2:51" ht="15.75" thickBot="1">
      <c r="B320" s="246" t="s">
        <v>9</v>
      </c>
      <c r="C320" s="241" t="s">
        <v>151</v>
      </c>
      <c r="D320" s="284">
        <v>200</v>
      </c>
      <c r="E320" s="185" t="s">
        <v>95</v>
      </c>
      <c r="F320" s="233">
        <v>5</v>
      </c>
      <c r="G320" s="247">
        <v>5</v>
      </c>
      <c r="H320" s="185" t="s">
        <v>92</v>
      </c>
      <c r="I320" s="256">
        <v>3.8</v>
      </c>
      <c r="J320" s="257">
        <v>3.8</v>
      </c>
      <c r="K320" s="417"/>
      <c r="L320" s="8"/>
      <c r="M320" s="1187"/>
      <c r="N320" s="91"/>
      <c r="O320" s="1049" t="s">
        <v>103</v>
      </c>
      <c r="P320" s="1724"/>
      <c r="Q320" s="1569"/>
      <c r="R320" s="1724">
        <f>I317</f>
        <v>5</v>
      </c>
      <c r="S320" s="1569">
        <f>J317</f>
        <v>5</v>
      </c>
      <c r="T320" s="1724">
        <f>I329</f>
        <v>0.6</v>
      </c>
      <c r="U320" s="1569">
        <f>J329</f>
        <v>0.6</v>
      </c>
      <c r="V320" s="1724">
        <f t="shared" si="175"/>
        <v>5</v>
      </c>
      <c r="W320" s="1586">
        <f t="shared" si="176"/>
        <v>5</v>
      </c>
      <c r="X320" s="1724">
        <f t="shared" si="177"/>
        <v>5.6</v>
      </c>
      <c r="Y320" s="1585">
        <f t="shared" si="178"/>
        <v>5.6</v>
      </c>
      <c r="AA320" s="1875" t="s">
        <v>881</v>
      </c>
      <c r="AB320" s="1782"/>
      <c r="AC320" s="1879"/>
      <c r="AD320" s="444"/>
      <c r="AE320" s="1883"/>
      <c r="AF320" s="1789"/>
      <c r="AG320" s="1887"/>
      <c r="AH320" s="1789">
        <f t="shared" si="195"/>
        <v>0</v>
      </c>
      <c r="AI320" s="1890">
        <f>AC320+AE320</f>
        <v>0</v>
      </c>
      <c r="AJ320" s="1789">
        <f t="shared" si="196"/>
        <v>0</v>
      </c>
      <c r="AK320" s="1893">
        <f>AE320+AG320</f>
        <v>0</v>
      </c>
      <c r="AM320" s="1944" t="s">
        <v>103</v>
      </c>
      <c r="AN320" s="1743">
        <f t="shared" si="183"/>
        <v>5.6</v>
      </c>
      <c r="AO320" s="857">
        <f t="shared" si="184"/>
        <v>5.6</v>
      </c>
      <c r="AP320" s="1662" t="s">
        <v>881</v>
      </c>
      <c r="AQ320" s="1840">
        <f t="shared" si="197"/>
        <v>0</v>
      </c>
      <c r="AR320" s="1667">
        <f t="shared" si="198"/>
        <v>0</v>
      </c>
    </row>
    <row r="321" spans="2:49" ht="15.75" thickBot="1">
      <c r="B321" s="246" t="s">
        <v>10</v>
      </c>
      <c r="C321" s="241" t="s">
        <v>11</v>
      </c>
      <c r="D321" s="284">
        <v>70</v>
      </c>
      <c r="E321" s="270" t="s">
        <v>97</v>
      </c>
      <c r="F321" s="272">
        <v>1</v>
      </c>
      <c r="G321" s="273">
        <v>1</v>
      </c>
      <c r="H321" s="249" t="s">
        <v>94</v>
      </c>
      <c r="I321" s="1169">
        <v>4</v>
      </c>
      <c r="J321" s="1170">
        <v>4</v>
      </c>
      <c r="K321" s="1243" t="s">
        <v>658</v>
      </c>
      <c r="L321" s="278"/>
      <c r="M321" s="50"/>
      <c r="N321" s="4"/>
      <c r="O321" s="1049" t="s">
        <v>915</v>
      </c>
      <c r="P321" s="1724"/>
      <c r="Q321" s="1586"/>
      <c r="R321" s="1724"/>
      <c r="S321" s="1586"/>
      <c r="T321" s="1979">
        <f>U321/1000/0.04</f>
        <v>0.1</v>
      </c>
      <c r="U321" s="1586">
        <f>G329+G339</f>
        <v>4</v>
      </c>
      <c r="V321" s="1724">
        <f t="shared" si="175"/>
        <v>0</v>
      </c>
      <c r="W321" s="1586">
        <f t="shared" si="176"/>
        <v>0</v>
      </c>
      <c r="X321" s="1724">
        <f t="shared" si="177"/>
        <v>0.1</v>
      </c>
      <c r="Y321" s="1585">
        <f t="shared" si="178"/>
        <v>4</v>
      </c>
      <c r="AA321" s="1876" t="s">
        <v>882</v>
      </c>
      <c r="AB321" s="1783"/>
      <c r="AC321" s="1880"/>
      <c r="AD321" s="1779"/>
      <c r="AE321" s="1884"/>
      <c r="AF321" s="1790">
        <f>L335</f>
        <v>0</v>
      </c>
      <c r="AG321" s="1888">
        <f>M335</f>
        <v>0</v>
      </c>
      <c r="AH321" s="1790">
        <f t="shared" si="195"/>
        <v>0</v>
      </c>
      <c r="AI321" s="1891"/>
      <c r="AJ321" s="1812">
        <f t="shared" si="196"/>
        <v>0</v>
      </c>
      <c r="AK321" s="2046"/>
      <c r="AM321" s="1944" t="s">
        <v>162</v>
      </c>
      <c r="AN321" s="1743">
        <f t="shared" si="183"/>
        <v>0.1</v>
      </c>
      <c r="AO321" s="857">
        <f t="shared" si="184"/>
        <v>4</v>
      </c>
      <c r="AP321" s="1707" t="s">
        <v>882</v>
      </c>
      <c r="AQ321" s="1840">
        <f t="shared" si="197"/>
        <v>0</v>
      </c>
      <c r="AR321" s="1667">
        <f t="shared" si="198"/>
        <v>0</v>
      </c>
    </row>
    <row r="322" spans="2:49" ht="15.75" thickBot="1">
      <c r="B322" s="246" t="s">
        <v>10</v>
      </c>
      <c r="C322" s="241" t="s">
        <v>792</v>
      </c>
      <c r="D322" s="284">
        <v>44</v>
      </c>
      <c r="E322" s="270" t="s">
        <v>222</v>
      </c>
      <c r="F322" s="233">
        <v>0.01</v>
      </c>
      <c r="G322" s="247">
        <v>0.01</v>
      </c>
      <c r="H322" s="185" t="s">
        <v>347</v>
      </c>
      <c r="I322" s="276">
        <v>13.09</v>
      </c>
      <c r="J322" s="275">
        <v>11</v>
      </c>
      <c r="K322" s="263" t="s">
        <v>118</v>
      </c>
      <c r="L322" s="97" t="s">
        <v>119</v>
      </c>
      <c r="M322" s="135" t="s">
        <v>120</v>
      </c>
      <c r="N322" s="4"/>
      <c r="O322" s="1049" t="s">
        <v>57</v>
      </c>
      <c r="P322" s="2059">
        <f>F307+I306</f>
        <v>12.5</v>
      </c>
      <c r="Q322" s="1600">
        <f>G307+J306</f>
        <v>12.5</v>
      </c>
      <c r="R322" s="1724"/>
      <c r="S322" s="1600"/>
      <c r="T322" s="1724">
        <f>L329</f>
        <v>5</v>
      </c>
      <c r="U322" s="1600">
        <f>M329</f>
        <v>5</v>
      </c>
      <c r="V322" s="1724">
        <f t="shared" si="175"/>
        <v>12.5</v>
      </c>
      <c r="W322" s="1586">
        <f t="shared" si="176"/>
        <v>12.5</v>
      </c>
      <c r="X322" s="1724">
        <f t="shared" si="177"/>
        <v>5</v>
      </c>
      <c r="Y322" s="1585">
        <f t="shared" si="178"/>
        <v>5</v>
      </c>
      <c r="AA322" s="1877" t="s">
        <v>883</v>
      </c>
      <c r="AB322" s="1896">
        <f>SUM(AB318:AB321)</f>
        <v>113.5</v>
      </c>
      <c r="AC322" s="1881">
        <f>AC318+AC319+AC320+AC321</f>
        <v>100</v>
      </c>
      <c r="AD322" s="1968">
        <f>AD318+AD319+AD320+AD321</f>
        <v>0</v>
      </c>
      <c r="AE322" s="1885">
        <f>AE318+AE319+AE320+AE321</f>
        <v>0</v>
      </c>
      <c r="AF322" s="1898">
        <f>SUM(AF318:AF321)</f>
        <v>42</v>
      </c>
      <c r="AG322" s="1889">
        <f>SUM(AG318:AG321)</f>
        <v>37</v>
      </c>
      <c r="AH322" s="1898">
        <f t="shared" si="195"/>
        <v>113.5</v>
      </c>
      <c r="AI322" s="1892">
        <f>AC322+AE322</f>
        <v>100</v>
      </c>
      <c r="AJ322" s="1898">
        <f t="shared" si="196"/>
        <v>42</v>
      </c>
      <c r="AK322" s="1895">
        <f>AE322+AG322</f>
        <v>37</v>
      </c>
      <c r="AM322" s="1944" t="s">
        <v>57</v>
      </c>
      <c r="AN322" s="1743">
        <f t="shared" si="183"/>
        <v>17.5</v>
      </c>
      <c r="AO322" s="857">
        <f t="shared" si="184"/>
        <v>17.5</v>
      </c>
      <c r="AP322" s="1719" t="s">
        <v>883</v>
      </c>
      <c r="AQ322" s="2119">
        <f t="shared" si="197"/>
        <v>155.5</v>
      </c>
      <c r="AR322" s="2120">
        <f t="shared" si="198"/>
        <v>137</v>
      </c>
    </row>
    <row r="323" spans="2:49">
      <c r="B323" s="61"/>
      <c r="C323" s="999"/>
      <c r="E323" s="1073" t="s">
        <v>975</v>
      </c>
      <c r="F323" s="903">
        <v>200</v>
      </c>
      <c r="G323" s="904">
        <v>200</v>
      </c>
      <c r="H323" s="1131" t="s">
        <v>95</v>
      </c>
      <c r="I323" s="233">
        <v>1.1000000000000001</v>
      </c>
      <c r="J323" s="193">
        <v>1.1000000000000001</v>
      </c>
      <c r="K323" s="185" t="s">
        <v>109</v>
      </c>
      <c r="L323" s="829">
        <v>75</v>
      </c>
      <c r="M323" s="1206">
        <v>60</v>
      </c>
      <c r="N323" s="1081"/>
      <c r="O323" s="1049" t="s">
        <v>171</v>
      </c>
      <c r="P323" s="1724"/>
      <c r="Q323" s="1569"/>
      <c r="R323" s="1724"/>
      <c r="S323" s="1569"/>
      <c r="T323" s="1724"/>
      <c r="U323" s="1569"/>
      <c r="V323" s="1724">
        <f t="shared" si="175"/>
        <v>0</v>
      </c>
      <c r="W323" s="1586">
        <f t="shared" si="176"/>
        <v>0</v>
      </c>
      <c r="X323" s="1724">
        <f t="shared" si="177"/>
        <v>0</v>
      </c>
      <c r="Y323" s="1585">
        <f t="shared" si="178"/>
        <v>0</v>
      </c>
      <c r="AA323" s="1702" t="s">
        <v>896</v>
      </c>
      <c r="AB323" s="1784"/>
      <c r="AC323" s="1703">
        <f>J298</f>
        <v>0</v>
      </c>
      <c r="AD323" s="1788"/>
      <c r="AE323" s="1704"/>
      <c r="AF323" s="1784">
        <f>F332</f>
        <v>18.350000000000001</v>
      </c>
      <c r="AG323" s="1703">
        <f>G332</f>
        <v>15.6</v>
      </c>
      <c r="AH323" s="1788"/>
      <c r="AI323" s="1769">
        <f>AC323+AE323</f>
        <v>0</v>
      </c>
      <c r="AJ323" s="1788">
        <f t="shared" ref="AJ323:AJ329" si="199">AD323+AF323</f>
        <v>18.350000000000001</v>
      </c>
      <c r="AK323" s="1806">
        <f>AE323+AG323</f>
        <v>15.6</v>
      </c>
      <c r="AM323" s="1944" t="s">
        <v>171</v>
      </c>
      <c r="AN323" s="1743">
        <f t="shared" si="183"/>
        <v>0</v>
      </c>
      <c r="AO323" s="857">
        <f t="shared" si="184"/>
        <v>0</v>
      </c>
      <c r="AP323" s="2121" t="s">
        <v>389</v>
      </c>
      <c r="AQ323" s="2122">
        <f t="shared" si="197"/>
        <v>18.350000000000001</v>
      </c>
      <c r="AR323" s="2123">
        <f t="shared" si="198"/>
        <v>15.6</v>
      </c>
    </row>
    <row r="324" spans="2:49" ht="15.75" thickBot="1">
      <c r="B324" s="61"/>
      <c r="C324" s="999"/>
      <c r="E324" s="474" t="s">
        <v>311</v>
      </c>
      <c r="F324" s="251">
        <v>2.9449999999999998</v>
      </c>
      <c r="G324" s="323">
        <v>2.5</v>
      </c>
      <c r="H324" s="185" t="s">
        <v>61</v>
      </c>
      <c r="I324" s="233">
        <v>0.55000000000000004</v>
      </c>
      <c r="J324" s="411">
        <v>0.55000000000000004</v>
      </c>
      <c r="K324" s="1244"/>
      <c r="L324" s="427"/>
      <c r="M324" s="1151"/>
      <c r="N324" s="91"/>
      <c r="O324" s="1049" t="s">
        <v>59</v>
      </c>
      <c r="P324" s="1724">
        <f>I304</f>
        <v>1</v>
      </c>
      <c r="Q324" s="1569">
        <f>J304</f>
        <v>1</v>
      </c>
      <c r="R324" s="1724"/>
      <c r="S324" s="1569"/>
      <c r="T324" s="1724"/>
      <c r="U324" s="1569"/>
      <c r="V324" s="1724">
        <f t="shared" si="175"/>
        <v>1</v>
      </c>
      <c r="W324" s="1586">
        <f t="shared" si="176"/>
        <v>1</v>
      </c>
      <c r="X324" s="1724">
        <f t="shared" si="177"/>
        <v>0</v>
      </c>
      <c r="Y324" s="1585">
        <f t="shared" si="178"/>
        <v>0</v>
      </c>
      <c r="AA324" s="1692" t="s">
        <v>897</v>
      </c>
      <c r="AB324" s="1783"/>
      <c r="AC324" s="1693"/>
      <c r="AD324" s="1790"/>
      <c r="AE324" s="2061"/>
      <c r="AF324" s="1783"/>
      <c r="AG324" s="1693"/>
      <c r="AH324" s="1790">
        <f t="shared" ref="AH324:AH329" si="200">AB324+AD324</f>
        <v>0</v>
      </c>
      <c r="AI324" s="1770">
        <f>AC324+AE324</f>
        <v>0</v>
      </c>
      <c r="AJ324" s="1790">
        <f t="shared" si="199"/>
        <v>0</v>
      </c>
      <c r="AK324" s="1807">
        <f>AE324+AG324</f>
        <v>0</v>
      </c>
      <c r="AM324" s="1944" t="s">
        <v>59</v>
      </c>
      <c r="AN324" s="1743">
        <f t="shared" si="183"/>
        <v>1</v>
      </c>
      <c r="AO324" s="857">
        <f t="shared" si="184"/>
        <v>1</v>
      </c>
      <c r="AP324" s="1692" t="s">
        <v>188</v>
      </c>
      <c r="AQ324" s="1840">
        <f t="shared" si="197"/>
        <v>0</v>
      </c>
      <c r="AR324" s="1667">
        <f t="shared" si="198"/>
        <v>0</v>
      </c>
    </row>
    <row r="325" spans="2:49" ht="15.75" thickBot="1">
      <c r="B325" s="1139" t="s">
        <v>583</v>
      </c>
      <c r="C325" s="1197"/>
      <c r="D325" s="1182">
        <f>D313+D314+D320+D321+D322+55+55+110+70</f>
        <v>914</v>
      </c>
      <c r="E325" s="1263"/>
      <c r="F325" s="900"/>
      <c r="G325" s="902"/>
      <c r="H325" s="249" t="s">
        <v>615</v>
      </c>
      <c r="I325" s="251">
        <v>1.1000000000000001E-3</v>
      </c>
      <c r="J325" s="268">
        <v>1.1000000000000001E-3</v>
      </c>
      <c r="K325" s="647"/>
      <c r="L325" s="648"/>
      <c r="M325" s="867"/>
      <c r="O325" s="1049" t="s">
        <v>169</v>
      </c>
      <c r="P325" s="1724"/>
      <c r="Q325" s="1569"/>
      <c r="R325" s="1724"/>
      <c r="S325" s="1569"/>
      <c r="T325" s="1724"/>
      <c r="U325" s="1569"/>
      <c r="V325" s="1724">
        <f t="shared" si="175"/>
        <v>0</v>
      </c>
      <c r="W325" s="1586">
        <f t="shared" si="176"/>
        <v>0</v>
      </c>
      <c r="X325" s="1724">
        <f t="shared" si="177"/>
        <v>0</v>
      </c>
      <c r="Y325" s="1585">
        <f t="shared" si="178"/>
        <v>0</v>
      </c>
      <c r="AA325" s="1721" t="s">
        <v>876</v>
      </c>
      <c r="AB325" s="1867">
        <f t="shared" ref="AB325:AG325" si="201">SUM(AB323:AB324)</f>
        <v>0</v>
      </c>
      <c r="AC325" s="2056">
        <f t="shared" si="201"/>
        <v>0</v>
      </c>
      <c r="AD325" s="1865">
        <f t="shared" si="201"/>
        <v>0</v>
      </c>
      <c r="AE325" s="1698">
        <f t="shared" si="201"/>
        <v>0</v>
      </c>
      <c r="AF325" s="1867">
        <f t="shared" si="201"/>
        <v>18.350000000000001</v>
      </c>
      <c r="AG325" s="1866">
        <f t="shared" si="201"/>
        <v>15.6</v>
      </c>
      <c r="AH325" s="1796">
        <f t="shared" si="200"/>
        <v>0</v>
      </c>
      <c r="AI325" s="1771">
        <f>AC325+AE325</f>
        <v>0</v>
      </c>
      <c r="AJ325" s="1796">
        <f t="shared" si="199"/>
        <v>18.350000000000001</v>
      </c>
      <c r="AK325" s="1699">
        <f>AE325+AG325</f>
        <v>15.6</v>
      </c>
      <c r="AM325" s="1944" t="s">
        <v>169</v>
      </c>
      <c r="AN325" s="1743">
        <f t="shared" si="183"/>
        <v>0</v>
      </c>
      <c r="AO325" s="857">
        <f t="shared" si="184"/>
        <v>0</v>
      </c>
      <c r="AP325" s="1721" t="s">
        <v>876</v>
      </c>
      <c r="AQ325" s="2124">
        <f t="shared" si="197"/>
        <v>18.350000000000001</v>
      </c>
      <c r="AR325" s="2125">
        <f t="shared" si="198"/>
        <v>15.6</v>
      </c>
    </row>
    <row r="326" spans="2:49" ht="15.75" thickBot="1">
      <c r="B326" s="403"/>
      <c r="C326" s="162" t="s">
        <v>324</v>
      </c>
      <c r="D326" s="835"/>
      <c r="E326" s="761" t="s">
        <v>678</v>
      </c>
      <c r="F326" s="1264"/>
      <c r="G326" s="86"/>
      <c r="H326" s="86"/>
      <c r="I326" s="86" t="s">
        <v>110</v>
      </c>
      <c r="J326" s="54"/>
      <c r="K326" s="1265" t="s">
        <v>680</v>
      </c>
      <c r="L326" s="969"/>
      <c r="M326" s="50"/>
      <c r="O326" s="1049" t="s">
        <v>168</v>
      </c>
      <c r="P326" s="1724"/>
      <c r="Q326" s="1569"/>
      <c r="R326" s="1724"/>
      <c r="S326" s="1569"/>
      <c r="T326" s="1724"/>
      <c r="U326" s="1569"/>
      <c r="V326" s="1724">
        <f t="shared" si="175"/>
        <v>0</v>
      </c>
      <c r="W326" s="1586">
        <f t="shared" si="176"/>
        <v>0</v>
      </c>
      <c r="X326" s="1724">
        <f t="shared" si="177"/>
        <v>0</v>
      </c>
      <c r="Y326" s="1585">
        <f t="shared" si="178"/>
        <v>0</v>
      </c>
      <c r="AA326" s="1843" t="s">
        <v>387</v>
      </c>
      <c r="AB326" s="1900"/>
      <c r="AC326" s="1901"/>
      <c r="AD326" s="1899"/>
      <c r="AE326" s="1846"/>
      <c r="AF326" s="1900"/>
      <c r="AG326" s="1901"/>
      <c r="AH326" s="1788">
        <f t="shared" si="200"/>
        <v>0</v>
      </c>
      <c r="AI326" s="1852"/>
      <c r="AJ326" s="1788">
        <f t="shared" si="199"/>
        <v>0</v>
      </c>
      <c r="AK326" s="1856"/>
      <c r="AM326" s="1944" t="s">
        <v>168</v>
      </c>
      <c r="AN326" s="1743">
        <f t="shared" si="183"/>
        <v>0</v>
      </c>
      <c r="AO326" s="857">
        <f t="shared" si="184"/>
        <v>0</v>
      </c>
      <c r="AP326" s="2126" t="s">
        <v>387</v>
      </c>
      <c r="AQ326" s="2122">
        <f t="shared" si="197"/>
        <v>0</v>
      </c>
      <c r="AR326" s="2123">
        <f t="shared" si="198"/>
        <v>0</v>
      </c>
    </row>
    <row r="327" spans="2:49" ht="15.75" thickBot="1">
      <c r="B327" s="156" t="s">
        <v>682</v>
      </c>
      <c r="C327" s="283" t="s">
        <v>680</v>
      </c>
      <c r="D327" s="428">
        <v>200</v>
      </c>
      <c r="E327" s="313" t="s">
        <v>118</v>
      </c>
      <c r="F327" s="97" t="s">
        <v>119</v>
      </c>
      <c r="G327" s="135" t="s">
        <v>120</v>
      </c>
      <c r="H327" s="406" t="s">
        <v>118</v>
      </c>
      <c r="I327" s="97" t="s">
        <v>119</v>
      </c>
      <c r="J327" s="135" t="s">
        <v>120</v>
      </c>
      <c r="K327" s="313" t="s">
        <v>118</v>
      </c>
      <c r="L327" s="97" t="s">
        <v>119</v>
      </c>
      <c r="M327" s="470" t="s">
        <v>120</v>
      </c>
      <c r="O327" s="1049" t="s">
        <v>89</v>
      </c>
      <c r="P327" s="1724"/>
      <c r="Q327" s="1569"/>
      <c r="R327" s="1724"/>
      <c r="S327" s="1569"/>
      <c r="T327" s="1724"/>
      <c r="U327" s="1569"/>
      <c r="V327" s="1724">
        <f t="shared" si="175"/>
        <v>0</v>
      </c>
      <c r="W327" s="1586">
        <f t="shared" si="176"/>
        <v>0</v>
      </c>
      <c r="X327" s="1724">
        <f t="shared" si="177"/>
        <v>0</v>
      </c>
      <c r="Y327" s="1585">
        <f t="shared" si="178"/>
        <v>0</v>
      </c>
      <c r="AA327" s="1844" t="s">
        <v>121</v>
      </c>
      <c r="AB327" s="1902"/>
      <c r="AC327" s="1848"/>
      <c r="AD327" s="1965"/>
      <c r="AE327" s="1904"/>
      <c r="AF327" s="1902">
        <f>F333</f>
        <v>11.92</v>
      </c>
      <c r="AG327" s="1848">
        <f>G333</f>
        <v>10.6</v>
      </c>
      <c r="AH327" s="1789">
        <f t="shared" si="200"/>
        <v>0</v>
      </c>
      <c r="AI327" s="1853">
        <f>AC327+AE327</f>
        <v>0</v>
      </c>
      <c r="AJ327" s="1789">
        <f t="shared" si="199"/>
        <v>11.92</v>
      </c>
      <c r="AK327" s="1857">
        <f t="shared" ref="AK327:AK341" si="202">AE327+AG327</f>
        <v>10.6</v>
      </c>
      <c r="AM327" s="1944" t="s">
        <v>89</v>
      </c>
      <c r="AN327" s="1743">
        <f t="shared" si="183"/>
        <v>0</v>
      </c>
      <c r="AO327" s="857">
        <f t="shared" si="184"/>
        <v>0</v>
      </c>
      <c r="AP327" s="1844" t="s">
        <v>121</v>
      </c>
      <c r="AQ327" s="1840">
        <f t="shared" si="197"/>
        <v>11.92</v>
      </c>
      <c r="AR327" s="1667">
        <f t="shared" si="198"/>
        <v>10.6</v>
      </c>
    </row>
    <row r="328" spans="2:49" ht="15.75" thickBot="1">
      <c r="B328" s="376" t="s">
        <v>846</v>
      </c>
      <c r="C328" s="500" t="s">
        <v>675</v>
      </c>
      <c r="D328" s="981" t="s">
        <v>791</v>
      </c>
      <c r="E328" s="98" t="s">
        <v>462</v>
      </c>
      <c r="F328" s="888">
        <v>93.2</v>
      </c>
      <c r="G328" s="883">
        <v>61.62</v>
      </c>
      <c r="H328" s="216" t="s">
        <v>681</v>
      </c>
      <c r="I328" s="177">
        <v>3.2</v>
      </c>
      <c r="J328" s="426">
        <v>3.2</v>
      </c>
      <c r="K328" s="100" t="s">
        <v>454</v>
      </c>
      <c r="L328" s="1057">
        <v>42</v>
      </c>
      <c r="M328" s="1058">
        <v>37</v>
      </c>
      <c r="O328" s="1049" t="s">
        <v>61</v>
      </c>
      <c r="P328" s="1724">
        <f>F308</f>
        <v>0.3</v>
      </c>
      <c r="Q328" s="1569">
        <f>G308</f>
        <v>0.3</v>
      </c>
      <c r="R328" s="1724">
        <f>F321+L317+I324</f>
        <v>2.35</v>
      </c>
      <c r="S328" s="1569">
        <f>G321+J324+M317</f>
        <v>2.35</v>
      </c>
      <c r="T328" s="1727">
        <f>F337+I336</f>
        <v>0.5</v>
      </c>
      <c r="U328" s="1569">
        <f>G337+J336</f>
        <v>0.5</v>
      </c>
      <c r="V328" s="1724">
        <f>P328+R328</f>
        <v>2.65</v>
      </c>
      <c r="W328" s="1586">
        <f t="shared" si="176"/>
        <v>2.65</v>
      </c>
      <c r="X328" s="1724">
        <f t="shared" si="177"/>
        <v>2.85</v>
      </c>
      <c r="Y328" s="1585">
        <f t="shared" si="178"/>
        <v>2.85</v>
      </c>
      <c r="AA328" s="1845" t="s">
        <v>388</v>
      </c>
      <c r="AB328" s="1903"/>
      <c r="AC328" s="1868"/>
      <c r="AD328" s="1870">
        <f>F324</f>
        <v>2.9449999999999998</v>
      </c>
      <c r="AE328" s="1905">
        <f>G324</f>
        <v>2.5</v>
      </c>
      <c r="AF328" s="1903"/>
      <c r="AG328" s="1868"/>
      <c r="AH328" s="1790">
        <f t="shared" si="200"/>
        <v>2.9449999999999998</v>
      </c>
      <c r="AI328" s="1854">
        <f>AC328+AE328</f>
        <v>2.5</v>
      </c>
      <c r="AJ328" s="1790">
        <f t="shared" si="199"/>
        <v>2.9449999999999998</v>
      </c>
      <c r="AK328" s="1858">
        <f t="shared" si="202"/>
        <v>2.5</v>
      </c>
      <c r="AM328" s="1944" t="s">
        <v>61</v>
      </c>
      <c r="AN328" s="1743">
        <f t="shared" si="183"/>
        <v>3.15</v>
      </c>
      <c r="AO328" s="857">
        <f t="shared" si="184"/>
        <v>3.15</v>
      </c>
      <c r="AP328" s="1845" t="s">
        <v>388</v>
      </c>
      <c r="AQ328" s="1840">
        <f t="shared" si="197"/>
        <v>2.9449999999999998</v>
      </c>
      <c r="AR328" s="1667">
        <f t="shared" si="198"/>
        <v>2.5</v>
      </c>
    </row>
    <row r="329" spans="2:49" ht="15.75" thickBot="1">
      <c r="B329" s="754"/>
      <c r="C329" s="503" t="s">
        <v>676</v>
      </c>
      <c r="D329" s="71"/>
      <c r="E329" s="185" t="s">
        <v>225</v>
      </c>
      <c r="F329" s="1079" t="s">
        <v>987</v>
      </c>
      <c r="G329" s="267">
        <v>1</v>
      </c>
      <c r="H329" s="241" t="s">
        <v>103</v>
      </c>
      <c r="I329" s="256">
        <v>0.6</v>
      </c>
      <c r="J329" s="267">
        <v>0.6</v>
      </c>
      <c r="K329" s="186" t="s">
        <v>57</v>
      </c>
      <c r="L329" s="254">
        <v>5</v>
      </c>
      <c r="M329" s="293">
        <v>5</v>
      </c>
      <c r="O329" s="1049" t="s">
        <v>143</v>
      </c>
      <c r="P329" s="1724"/>
      <c r="Q329" s="1569"/>
      <c r="R329" s="1724"/>
      <c r="S329" s="1569"/>
      <c r="T329" s="1724"/>
      <c r="U329" s="1569"/>
      <c r="V329" s="1724">
        <f t="shared" si="175"/>
        <v>0</v>
      </c>
      <c r="W329" s="1586">
        <f t="shared" si="176"/>
        <v>0</v>
      </c>
      <c r="X329" s="1724">
        <f t="shared" si="177"/>
        <v>0</v>
      </c>
      <c r="Y329" s="1585">
        <f t="shared" si="178"/>
        <v>0</v>
      </c>
      <c r="AA329" s="1850" t="s">
        <v>875</v>
      </c>
      <c r="AB329" s="1871">
        <f t="shared" ref="AB329:AG329" si="203">AB326+AB327+AB328</f>
        <v>0</v>
      </c>
      <c r="AC329" s="1851">
        <f t="shared" si="203"/>
        <v>0</v>
      </c>
      <c r="AD329" s="1871">
        <f t="shared" si="203"/>
        <v>2.9449999999999998</v>
      </c>
      <c r="AE329" s="1851">
        <f t="shared" si="203"/>
        <v>2.5</v>
      </c>
      <c r="AF329" s="1871">
        <f t="shared" si="203"/>
        <v>11.92</v>
      </c>
      <c r="AG329" s="1851">
        <f t="shared" si="203"/>
        <v>10.6</v>
      </c>
      <c r="AH329" s="1791">
        <f t="shared" si="200"/>
        <v>2.9449999999999998</v>
      </c>
      <c r="AI329" s="1855">
        <f>AC329+AE329</f>
        <v>2.5</v>
      </c>
      <c r="AJ329" s="1791">
        <f t="shared" si="199"/>
        <v>14.865</v>
      </c>
      <c r="AK329" s="1859">
        <f t="shared" si="202"/>
        <v>13.1</v>
      </c>
      <c r="AM329" s="1944" t="s">
        <v>143</v>
      </c>
      <c r="AN329" s="1743">
        <f t="shared" si="183"/>
        <v>0</v>
      </c>
      <c r="AO329" s="857">
        <f t="shared" si="184"/>
        <v>0</v>
      </c>
      <c r="AP329" s="1850" t="s">
        <v>875</v>
      </c>
      <c r="AQ329" s="2127">
        <f t="shared" si="197"/>
        <v>14.865</v>
      </c>
      <c r="AR329" s="2128">
        <f t="shared" si="198"/>
        <v>13.1</v>
      </c>
    </row>
    <row r="330" spans="2:49">
      <c r="B330" s="246" t="s">
        <v>10</v>
      </c>
      <c r="C330" s="241" t="s">
        <v>11</v>
      </c>
      <c r="D330" s="284">
        <v>50</v>
      </c>
      <c r="E330" s="390" t="s">
        <v>92</v>
      </c>
      <c r="F330" s="251">
        <v>2</v>
      </c>
      <c r="G330" s="268">
        <v>2</v>
      </c>
      <c r="H330" s="241" t="s">
        <v>95</v>
      </c>
      <c r="I330" s="256">
        <v>2.19</v>
      </c>
      <c r="J330" s="267">
        <v>2.19</v>
      </c>
      <c r="K330" s="185" t="s">
        <v>94</v>
      </c>
      <c r="L330" s="233">
        <v>170</v>
      </c>
      <c r="M330" s="235">
        <v>170</v>
      </c>
      <c r="O330" s="1617" t="s">
        <v>229</v>
      </c>
      <c r="P330" s="1747">
        <f>P334+P333+P332+P331</f>
        <v>0</v>
      </c>
      <c r="Q330" s="1576">
        <f>Q331+Q332+Q333+Q334</f>
        <v>0</v>
      </c>
      <c r="R330" s="1911">
        <f>R331+R332+R333+R334</f>
        <v>1.11E-2</v>
      </c>
      <c r="S330" s="1576">
        <f>S331+S332+S333+S334</f>
        <v>0.01</v>
      </c>
      <c r="T330" s="1747">
        <f>T331+T332+T333+T334</f>
        <v>0.39956000000000003</v>
      </c>
      <c r="U330" s="1576">
        <f>U331+U332+U333+U334</f>
        <v>0.39956000000000003</v>
      </c>
      <c r="V330" s="1912">
        <f>P330+R330</f>
        <v>1.11E-2</v>
      </c>
      <c r="W330" s="1586">
        <f t="shared" si="176"/>
        <v>0.01</v>
      </c>
      <c r="X330" s="1979">
        <f>R330+T330</f>
        <v>0.41066000000000003</v>
      </c>
      <c r="Y330" s="1679">
        <f t="shared" si="178"/>
        <v>0.40956000000000004</v>
      </c>
      <c r="AA330" s="1695" t="s">
        <v>208</v>
      </c>
      <c r="AB330" s="1784"/>
      <c r="AC330" s="1696"/>
      <c r="AD330" s="1784"/>
      <c r="AE330" s="1697"/>
      <c r="AF330" s="1784"/>
      <c r="AG330" s="1758"/>
      <c r="AH330" s="1788">
        <f t="shared" ref="AH330:AH337" si="204">AB330+AD330</f>
        <v>0</v>
      </c>
      <c r="AI330" s="1772">
        <f>AC330+AE330</f>
        <v>0</v>
      </c>
      <c r="AJ330" s="1788">
        <f t="shared" ref="AJ330:AJ337" si="205">AD330+AF330</f>
        <v>0</v>
      </c>
      <c r="AK330" s="1603">
        <f t="shared" si="202"/>
        <v>0</v>
      </c>
      <c r="AM330" s="1948" t="s">
        <v>229</v>
      </c>
      <c r="AN330" s="2090">
        <f>P330+R330+T330</f>
        <v>0.41066000000000003</v>
      </c>
      <c r="AO330" s="857">
        <f t="shared" si="184"/>
        <v>0.40956000000000004</v>
      </c>
      <c r="AP330" s="2129" t="s">
        <v>208</v>
      </c>
      <c r="AQ330" s="2122">
        <f t="shared" si="197"/>
        <v>0</v>
      </c>
      <c r="AR330" s="2123">
        <f t="shared" si="198"/>
        <v>0</v>
      </c>
    </row>
    <row r="331" spans="2:49" ht="14.25" customHeight="1">
      <c r="B331" s="61"/>
      <c r="C331" s="999"/>
      <c r="D331" s="71"/>
      <c r="E331" s="185" t="s">
        <v>677</v>
      </c>
      <c r="F331" s="233"/>
      <c r="G331" s="411"/>
      <c r="H331" s="212" t="s">
        <v>110</v>
      </c>
      <c r="I331" s="329"/>
      <c r="J331" s="329"/>
      <c r="K331" s="61"/>
      <c r="M331" s="71"/>
      <c r="O331" s="1618" t="s">
        <v>222</v>
      </c>
      <c r="P331" s="1971"/>
      <c r="Q331" s="1572"/>
      <c r="R331" s="1971">
        <f>F322+I325</f>
        <v>1.11E-2</v>
      </c>
      <c r="S331" s="1572">
        <f>G322</f>
        <v>0.01</v>
      </c>
      <c r="T331" s="1971">
        <f>I335</f>
        <v>5.5999999999999995E-4</v>
      </c>
      <c r="U331" s="1572">
        <f>J335</f>
        <v>5.5999999999999995E-4</v>
      </c>
      <c r="V331" s="1775">
        <f>P331+R331</f>
        <v>1.11E-2</v>
      </c>
      <c r="W331" s="1572"/>
      <c r="X331" s="1725">
        <f t="shared" si="177"/>
        <v>1.166E-2</v>
      </c>
      <c r="Y331" s="1607"/>
      <c r="AA331" s="1663" t="s">
        <v>81</v>
      </c>
      <c r="AB331" s="1782"/>
      <c r="AC331" s="1599"/>
      <c r="AD331" s="1782"/>
      <c r="AE331" s="1670"/>
      <c r="AF331" s="1782"/>
      <c r="AG331" s="1682"/>
      <c r="AH331" s="1789">
        <f t="shared" si="204"/>
        <v>0</v>
      </c>
      <c r="AI331" s="1772">
        <f t="shared" ref="AI331:AI337" si="206">AC331+AE331</f>
        <v>0</v>
      </c>
      <c r="AJ331" s="1789">
        <f t="shared" si="205"/>
        <v>0</v>
      </c>
      <c r="AK331" s="1645">
        <f t="shared" si="202"/>
        <v>0</v>
      </c>
      <c r="AM331" s="1949" t="s">
        <v>222</v>
      </c>
      <c r="AN331" s="2076">
        <f t="shared" si="183"/>
        <v>1.166E-2</v>
      </c>
      <c r="AO331" s="1594">
        <f t="shared" ref="AO331:AO335" si="207">Q331+S331+U331</f>
        <v>1.056E-2</v>
      </c>
      <c r="AP331" s="1663" t="s">
        <v>81</v>
      </c>
      <c r="AQ331" s="1840">
        <f t="shared" si="197"/>
        <v>0</v>
      </c>
      <c r="AR331" s="1667">
        <f t="shared" si="198"/>
        <v>0</v>
      </c>
      <c r="AW331" s="94"/>
    </row>
    <row r="332" spans="2:49" ht="12.75" customHeight="1">
      <c r="B332" s="61"/>
      <c r="C332" s="999"/>
      <c r="D332" s="71"/>
      <c r="E332" s="185" t="s">
        <v>99</v>
      </c>
      <c r="F332" s="233">
        <v>18.350000000000001</v>
      </c>
      <c r="G332" s="411">
        <v>15.6</v>
      </c>
      <c r="H332" s="756" t="s">
        <v>108</v>
      </c>
      <c r="I332" s="1100">
        <v>2</v>
      </c>
      <c r="J332" s="1266">
        <v>2</v>
      </c>
      <c r="K332" s="417"/>
      <c r="L332" s="32"/>
      <c r="M332" s="989"/>
      <c r="O332" s="1619" t="s">
        <v>679</v>
      </c>
      <c r="P332" s="1972"/>
      <c r="Q332" s="1573"/>
      <c r="R332" s="1972"/>
      <c r="S332" s="1573"/>
      <c r="T332" s="1972">
        <f>G336</f>
        <v>0.39900000000000002</v>
      </c>
      <c r="U332" s="1573">
        <f>G336</f>
        <v>0.39900000000000002</v>
      </c>
      <c r="V332" s="1775">
        <f t="shared" ref="V332:V333" si="208">P332+R332</f>
        <v>0</v>
      </c>
      <c r="W332" s="1573"/>
      <c r="X332" s="1725">
        <f t="shared" si="177"/>
        <v>0.39900000000000002</v>
      </c>
      <c r="Y332" s="1608"/>
      <c r="AA332" s="1663" t="s">
        <v>83</v>
      </c>
      <c r="AB332" s="1785"/>
      <c r="AC332" s="1639"/>
      <c r="AD332" s="1785"/>
      <c r="AE332" s="1671"/>
      <c r="AF332" s="1785"/>
      <c r="AG332" s="1759"/>
      <c r="AH332" s="1789">
        <f t="shared" si="204"/>
        <v>0</v>
      </c>
      <c r="AI332" s="1772">
        <f t="shared" si="206"/>
        <v>0</v>
      </c>
      <c r="AJ332" s="1789">
        <f t="shared" si="205"/>
        <v>0</v>
      </c>
      <c r="AK332" s="1645">
        <f t="shared" si="202"/>
        <v>0</v>
      </c>
      <c r="AM332" s="1950" t="s">
        <v>679</v>
      </c>
      <c r="AN332" s="2076">
        <f t="shared" si="183"/>
        <v>0.39900000000000002</v>
      </c>
      <c r="AO332" s="1594">
        <f t="shared" si="207"/>
        <v>0.39900000000000002</v>
      </c>
      <c r="AP332" s="1663" t="s">
        <v>83</v>
      </c>
      <c r="AQ332" s="1840">
        <f t="shared" si="197"/>
        <v>0</v>
      </c>
      <c r="AR332" s="1667">
        <f t="shared" si="198"/>
        <v>0</v>
      </c>
    </row>
    <row r="333" spans="2:49" ht="13.5" customHeight="1">
      <c r="B333" s="61"/>
      <c r="C333" s="999"/>
      <c r="D333" s="71"/>
      <c r="E333" s="240" t="s">
        <v>244</v>
      </c>
      <c r="F333" s="233">
        <v>11.92</v>
      </c>
      <c r="G333" s="193">
        <v>10.6</v>
      </c>
      <c r="H333" s="241" t="s">
        <v>93</v>
      </c>
      <c r="I333" s="233">
        <v>24</v>
      </c>
      <c r="J333" s="411">
        <v>24</v>
      </c>
      <c r="K333" s="319"/>
      <c r="L333" s="87"/>
      <c r="M333" s="318"/>
      <c r="O333" s="1620" t="s">
        <v>449</v>
      </c>
      <c r="P333" s="1982"/>
      <c r="Q333" s="1574"/>
      <c r="R333" s="1730"/>
      <c r="S333" s="1574"/>
      <c r="T333" s="1982"/>
      <c r="U333" s="1574"/>
      <c r="V333" s="1775">
        <f t="shared" si="208"/>
        <v>0</v>
      </c>
      <c r="W333" s="1574"/>
      <c r="X333" s="1725">
        <f t="shared" si="177"/>
        <v>0</v>
      </c>
      <c r="Y333" s="1609"/>
      <c r="AA333" s="1663" t="s">
        <v>84</v>
      </c>
      <c r="AB333" s="1782"/>
      <c r="AC333" s="1639"/>
      <c r="AD333" s="1782">
        <f>F317</f>
        <v>5</v>
      </c>
      <c r="AE333" s="1671">
        <f>G317</f>
        <v>5</v>
      </c>
      <c r="AF333" s="1782"/>
      <c r="AG333" s="1759"/>
      <c r="AH333" s="1789">
        <f t="shared" si="204"/>
        <v>5</v>
      </c>
      <c r="AI333" s="1772">
        <f t="shared" si="206"/>
        <v>5</v>
      </c>
      <c r="AJ333" s="1789">
        <f t="shared" si="205"/>
        <v>5</v>
      </c>
      <c r="AK333" s="1645">
        <f t="shared" si="202"/>
        <v>5</v>
      </c>
      <c r="AM333" s="1951" t="s">
        <v>449</v>
      </c>
      <c r="AN333" s="2076">
        <f t="shared" si="183"/>
        <v>0</v>
      </c>
      <c r="AO333" s="1594">
        <f t="shared" si="207"/>
        <v>0</v>
      </c>
      <c r="AP333" s="1663" t="s">
        <v>84</v>
      </c>
      <c r="AQ333" s="1840">
        <f t="shared" si="197"/>
        <v>5</v>
      </c>
      <c r="AR333" s="1667">
        <f t="shared" si="198"/>
        <v>5</v>
      </c>
      <c r="AT333" s="116"/>
    </row>
    <row r="334" spans="2:49" ht="12" customHeight="1">
      <c r="B334" s="61"/>
      <c r="C334" s="999"/>
      <c r="D334" s="71"/>
      <c r="E334" s="185" t="s">
        <v>95</v>
      </c>
      <c r="F334" s="256">
        <v>1</v>
      </c>
      <c r="G334" s="267">
        <v>1</v>
      </c>
      <c r="H334" s="167" t="s">
        <v>92</v>
      </c>
      <c r="I334" s="256">
        <v>2.25</v>
      </c>
      <c r="J334" s="267">
        <v>2.25</v>
      </c>
      <c r="K334" s="61"/>
      <c r="M334" s="71"/>
      <c r="O334" s="1942" t="s">
        <v>167</v>
      </c>
      <c r="P334" s="1983"/>
      <c r="Q334" s="1574"/>
      <c r="R334" s="1725"/>
      <c r="S334" s="1574"/>
      <c r="T334" s="1983"/>
      <c r="U334" s="1574"/>
      <c r="V334" s="1976">
        <f>P334+R334</f>
        <v>0</v>
      </c>
      <c r="W334" s="1574"/>
      <c r="X334" s="1976">
        <f t="shared" si="177"/>
        <v>0</v>
      </c>
      <c r="Y334" s="1609"/>
      <c r="AA334" s="1663" t="s">
        <v>85</v>
      </c>
      <c r="AB334" s="1782"/>
      <c r="AC334" s="1599"/>
      <c r="AD334" s="1782"/>
      <c r="AE334" s="1670"/>
      <c r="AF334" s="1782"/>
      <c r="AG334" s="1682"/>
      <c r="AH334" s="1789">
        <f t="shared" si="204"/>
        <v>0</v>
      </c>
      <c r="AI334" s="1772">
        <f t="shared" si="206"/>
        <v>0</v>
      </c>
      <c r="AJ334" s="1789">
        <f t="shared" si="205"/>
        <v>0</v>
      </c>
      <c r="AK334" s="1645">
        <f t="shared" si="202"/>
        <v>0</v>
      </c>
      <c r="AL334" s="367"/>
      <c r="AM334" s="1953" t="s">
        <v>167</v>
      </c>
      <c r="AN334" s="2076">
        <f t="shared" si="183"/>
        <v>0</v>
      </c>
      <c r="AO334" s="1594">
        <f t="shared" si="207"/>
        <v>0</v>
      </c>
      <c r="AP334" s="1663" t="s">
        <v>85</v>
      </c>
      <c r="AQ334" s="1840">
        <f t="shared" si="197"/>
        <v>0</v>
      </c>
      <c r="AR334" s="1667">
        <f t="shared" si="198"/>
        <v>0</v>
      </c>
      <c r="AT334" s="142"/>
    </row>
    <row r="335" spans="2:49" ht="15.75" thickBot="1">
      <c r="B335" s="61"/>
      <c r="C335" s="999"/>
      <c r="D335" s="71"/>
      <c r="E335" s="185" t="s">
        <v>221</v>
      </c>
      <c r="F335" s="251">
        <v>10</v>
      </c>
      <c r="G335" s="975">
        <v>8</v>
      </c>
      <c r="H335" s="492" t="s">
        <v>98</v>
      </c>
      <c r="I335" s="233">
        <v>5.5999999999999995E-4</v>
      </c>
      <c r="J335" s="193">
        <v>5.5999999999999995E-4</v>
      </c>
      <c r="K335" s="2546"/>
      <c r="M335" s="71"/>
      <c r="O335" s="195" t="s">
        <v>116</v>
      </c>
      <c r="P335" s="2060"/>
      <c r="Q335" s="2022"/>
      <c r="R335" s="1610"/>
      <c r="S335" s="2022"/>
      <c r="T335" s="1610">
        <f>I328</f>
        <v>3.2</v>
      </c>
      <c r="U335" s="2022">
        <f>J328</f>
        <v>3.2</v>
      </c>
      <c r="V335" s="1837">
        <f>P335+R335</f>
        <v>0</v>
      </c>
      <c r="W335" s="2022"/>
      <c r="X335" s="1837">
        <f>R335+T335</f>
        <v>3.2</v>
      </c>
      <c r="Y335" s="1611"/>
      <c r="AA335" s="1663" t="s">
        <v>87</v>
      </c>
      <c r="AB335" s="2092">
        <f>F305</f>
        <v>38</v>
      </c>
      <c r="AC335" s="1640">
        <f>G305</f>
        <v>38</v>
      </c>
      <c r="AD335" s="1782"/>
      <c r="AE335" s="1670"/>
      <c r="AF335" s="1782"/>
      <c r="AG335" s="1682"/>
      <c r="AH335" s="1789">
        <f t="shared" si="204"/>
        <v>38</v>
      </c>
      <c r="AI335" s="1772">
        <f t="shared" si="206"/>
        <v>38</v>
      </c>
      <c r="AJ335" s="1789">
        <f t="shared" si="205"/>
        <v>0</v>
      </c>
      <c r="AK335" s="1645">
        <f t="shared" si="202"/>
        <v>0</v>
      </c>
      <c r="AL335" s="367"/>
      <c r="AM335" s="573" t="s">
        <v>116</v>
      </c>
      <c r="AN335" s="2078">
        <f>P335+R335+T335</f>
        <v>3.2</v>
      </c>
      <c r="AO335" s="857">
        <f t="shared" si="207"/>
        <v>3.2</v>
      </c>
      <c r="AP335" s="1663" t="s">
        <v>87</v>
      </c>
      <c r="AQ335" s="1840">
        <f t="shared" si="197"/>
        <v>38</v>
      </c>
      <c r="AR335" s="1667">
        <f t="shared" si="198"/>
        <v>38</v>
      </c>
      <c r="AT335" s="137"/>
    </row>
    <row r="336" spans="2:49" ht="13.5" customHeight="1">
      <c r="B336" s="61"/>
      <c r="C336" s="999"/>
      <c r="D336" s="71"/>
      <c r="E336" s="240" t="s">
        <v>634</v>
      </c>
      <c r="F336" s="233"/>
      <c r="G336" s="411">
        <v>0.39900000000000002</v>
      </c>
      <c r="H336" s="241" t="s">
        <v>97</v>
      </c>
      <c r="I336" s="233">
        <v>0.3</v>
      </c>
      <c r="J336" s="411">
        <v>0.3</v>
      </c>
      <c r="K336" s="61"/>
      <c r="M336" s="71"/>
      <c r="Q336" s="1570"/>
      <c r="S336" s="1570"/>
      <c r="U336" s="1570"/>
      <c r="W336" s="1570"/>
      <c r="Y336" s="1570"/>
      <c r="AA336" s="1663" t="s">
        <v>88</v>
      </c>
      <c r="AB336" s="1782"/>
      <c r="AC336" s="1599"/>
      <c r="AD336" s="1782"/>
      <c r="AE336" s="1670"/>
      <c r="AF336" s="1782"/>
      <c r="AG336" s="1682"/>
      <c r="AH336" s="1789">
        <f t="shared" si="204"/>
        <v>0</v>
      </c>
      <c r="AI336" s="1772">
        <f t="shared" si="206"/>
        <v>0</v>
      </c>
      <c r="AJ336" s="1789">
        <f t="shared" si="205"/>
        <v>0</v>
      </c>
      <c r="AK336" s="1645">
        <f t="shared" si="202"/>
        <v>0</v>
      </c>
      <c r="AL336" s="367"/>
      <c r="AP336" s="1663" t="s">
        <v>88</v>
      </c>
      <c r="AQ336" s="1840">
        <f t="shared" si="197"/>
        <v>0</v>
      </c>
      <c r="AR336" s="1667">
        <f t="shared" si="198"/>
        <v>0</v>
      </c>
      <c r="AT336" s="142"/>
    </row>
    <row r="337" spans="2:46" ht="15.75" thickBot="1">
      <c r="B337" s="61"/>
      <c r="C337" s="999"/>
      <c r="D337" s="71"/>
      <c r="E337" s="249" t="s">
        <v>97</v>
      </c>
      <c r="F337" s="254">
        <v>0.2</v>
      </c>
      <c r="G337" s="970">
        <v>0.2</v>
      </c>
      <c r="H337" s="241" t="s">
        <v>94</v>
      </c>
      <c r="I337" s="233">
        <v>4</v>
      </c>
      <c r="J337" s="411">
        <v>4</v>
      </c>
      <c r="K337" s="61"/>
      <c r="M337" s="71"/>
      <c r="Q337" s="1570"/>
      <c r="S337" s="1570"/>
      <c r="U337" s="1570"/>
      <c r="W337" s="1570"/>
      <c r="Y337" s="1570"/>
      <c r="AA337" s="1685" t="s">
        <v>90</v>
      </c>
      <c r="AB337" s="1927"/>
      <c r="AC337" s="1907"/>
      <c r="AD337" s="1783"/>
      <c r="AE337" s="1687"/>
      <c r="AF337" s="1783"/>
      <c r="AG337" s="1760"/>
      <c r="AH337" s="1790">
        <f t="shared" si="204"/>
        <v>0</v>
      </c>
      <c r="AI337" s="1772">
        <f t="shared" si="206"/>
        <v>0</v>
      </c>
      <c r="AJ337" s="1790">
        <f t="shared" si="205"/>
        <v>0</v>
      </c>
      <c r="AK337" s="1805">
        <f t="shared" si="202"/>
        <v>0</v>
      </c>
      <c r="AL337" s="367"/>
      <c r="AP337" s="1685" t="s">
        <v>90</v>
      </c>
      <c r="AQ337" s="1840">
        <f t="shared" si="197"/>
        <v>0</v>
      </c>
      <c r="AR337" s="1667">
        <f t="shared" si="198"/>
        <v>0</v>
      </c>
      <c r="AT337" s="142"/>
    </row>
    <row r="338" spans="2:46" ht="13.5" customHeight="1" thickBot="1">
      <c r="B338" s="61"/>
      <c r="C338" s="999"/>
      <c r="D338" s="71"/>
      <c r="E338" s="249" t="s">
        <v>178</v>
      </c>
      <c r="F338" s="254">
        <v>3.1</v>
      </c>
      <c r="G338" s="481">
        <v>3</v>
      </c>
      <c r="H338" s="983"/>
      <c r="K338" s="61"/>
      <c r="M338" s="71"/>
      <c r="Q338" s="1570"/>
      <c r="S338" s="1570"/>
      <c r="U338" s="1581"/>
      <c r="W338" s="1570"/>
      <c r="Y338" s="1570"/>
      <c r="AA338" s="1688" t="s">
        <v>877</v>
      </c>
      <c r="AB338" s="1786">
        <f t="shared" ref="AB338:AG338" si="209">SUM(AB330:AB337)</f>
        <v>38</v>
      </c>
      <c r="AC338" s="1689">
        <f t="shared" si="209"/>
        <v>38</v>
      </c>
      <c r="AD338" s="1906">
        <f t="shared" si="209"/>
        <v>5</v>
      </c>
      <c r="AE338" s="1690">
        <f t="shared" si="209"/>
        <v>5</v>
      </c>
      <c r="AF338" s="1786">
        <f t="shared" si="209"/>
        <v>0</v>
      </c>
      <c r="AG338" s="1761">
        <f t="shared" si="209"/>
        <v>0</v>
      </c>
      <c r="AH338" s="1797">
        <f t="shared" ref="AH338:AJ341" si="210">AB338+AD338</f>
        <v>43</v>
      </c>
      <c r="AI338" s="1816">
        <f t="shared" si="210"/>
        <v>43</v>
      </c>
      <c r="AJ338" s="1797">
        <f t="shared" si="210"/>
        <v>5</v>
      </c>
      <c r="AK338" s="1691">
        <f t="shared" si="202"/>
        <v>5</v>
      </c>
      <c r="AL338" s="367"/>
      <c r="AP338" s="1688" t="s">
        <v>877</v>
      </c>
      <c r="AQ338" s="2130">
        <f>AB338+AD338+AF338</f>
        <v>43</v>
      </c>
      <c r="AR338" s="1672">
        <f>AC338+AE338+AG338</f>
        <v>43</v>
      </c>
      <c r="AT338" s="142"/>
    </row>
    <row r="339" spans="2:46" ht="15.75" thickBot="1">
      <c r="B339" s="1139" t="s">
        <v>584</v>
      </c>
      <c r="C339" s="1136"/>
      <c r="D339" s="1137">
        <f>D327+D330+70+30</f>
        <v>350</v>
      </c>
      <c r="E339" s="195" t="s">
        <v>225</v>
      </c>
      <c r="F339" s="1267" t="s">
        <v>988</v>
      </c>
      <c r="G339" s="1213">
        <v>3</v>
      </c>
      <c r="H339" s="1268"/>
      <c r="I339" s="1269"/>
      <c r="J339" s="1270"/>
      <c r="K339" s="57"/>
      <c r="L339" s="29"/>
      <c r="M339" s="74"/>
      <c r="Q339" s="1570"/>
      <c r="S339" s="1570"/>
      <c r="U339" s="1570"/>
      <c r="W339" s="1570"/>
      <c r="Y339" s="1570"/>
      <c r="AA339" s="2062" t="s">
        <v>93</v>
      </c>
      <c r="AB339" s="1784"/>
      <c r="AC339" s="2064"/>
      <c r="AD339" s="1788"/>
      <c r="AE339" s="2067"/>
      <c r="AF339" s="1784"/>
      <c r="AG339" s="2064"/>
      <c r="AH339" s="1788">
        <f t="shared" si="210"/>
        <v>0</v>
      </c>
      <c r="AI339" s="2069">
        <f t="shared" si="210"/>
        <v>0</v>
      </c>
      <c r="AJ339" s="1788">
        <f t="shared" si="210"/>
        <v>0</v>
      </c>
      <c r="AK339" s="1709">
        <f t="shared" si="202"/>
        <v>0</v>
      </c>
      <c r="AL339" s="367"/>
      <c r="AP339" s="2062" t="s">
        <v>93</v>
      </c>
      <c r="AQ339" s="2117">
        <f t="shared" si="197"/>
        <v>0</v>
      </c>
      <c r="AR339" s="1708">
        <f t="shared" si="198"/>
        <v>0</v>
      </c>
      <c r="AT339" s="142"/>
    </row>
    <row r="340" spans="2:46" ht="15.75" thickBot="1">
      <c r="K340" s="4"/>
      <c r="L340" s="8"/>
      <c r="M340" s="142"/>
      <c r="Q340" s="1570"/>
      <c r="S340" s="1570"/>
      <c r="U340" s="367"/>
      <c r="W340" s="367"/>
      <c r="Y340" s="1581"/>
      <c r="AA340" s="2063" t="s">
        <v>908</v>
      </c>
      <c r="AB340" s="1783"/>
      <c r="AC340" s="2065"/>
      <c r="AD340" s="1790"/>
      <c r="AE340" s="2068"/>
      <c r="AF340" s="1783"/>
      <c r="AG340" s="2065"/>
      <c r="AH340" s="1790">
        <f t="shared" si="210"/>
        <v>0</v>
      </c>
      <c r="AI340" s="1767">
        <f t="shared" si="210"/>
        <v>0</v>
      </c>
      <c r="AJ340" s="1790">
        <f t="shared" si="210"/>
        <v>0</v>
      </c>
      <c r="AK340" s="1701">
        <f t="shared" si="202"/>
        <v>0</v>
      </c>
      <c r="AL340" s="1570"/>
      <c r="AP340" s="2063" t="s">
        <v>908</v>
      </c>
      <c r="AQ340" s="2074">
        <f t="shared" si="197"/>
        <v>0</v>
      </c>
      <c r="AR340" s="1700">
        <f t="shared" si="198"/>
        <v>0</v>
      </c>
    </row>
    <row r="341" spans="2:46" ht="15.75" thickBot="1">
      <c r="E341" s="1262"/>
      <c r="F341" s="8"/>
      <c r="G341" s="137"/>
      <c r="H341" s="4"/>
      <c r="I341" s="8"/>
      <c r="J341" s="137"/>
      <c r="M341" s="315"/>
      <c r="Q341" s="1570"/>
      <c r="S341" s="1570"/>
      <c r="U341" s="367"/>
      <c r="W341" s="367"/>
      <c r="Y341" s="367"/>
      <c r="AA341" s="1720" t="s">
        <v>909</v>
      </c>
      <c r="AB341" s="2070">
        <f t="shared" ref="AB341:AG341" si="211">SUM(AB339:AB340)</f>
        <v>0</v>
      </c>
      <c r="AC341" s="2066">
        <f t="shared" si="211"/>
        <v>0</v>
      </c>
      <c r="AD341" s="2071">
        <f t="shared" si="211"/>
        <v>0</v>
      </c>
      <c r="AE341" s="1705">
        <f t="shared" si="211"/>
        <v>0</v>
      </c>
      <c r="AF341" s="2070">
        <f t="shared" si="211"/>
        <v>0</v>
      </c>
      <c r="AG341" s="2072">
        <f t="shared" si="211"/>
        <v>0</v>
      </c>
      <c r="AH341" s="1795">
        <f t="shared" si="210"/>
        <v>0</v>
      </c>
      <c r="AI341" s="1768">
        <f t="shared" si="210"/>
        <v>0</v>
      </c>
      <c r="AJ341" s="1795">
        <f t="shared" si="210"/>
        <v>0</v>
      </c>
      <c r="AK341" s="1706">
        <f t="shared" si="202"/>
        <v>0</v>
      </c>
      <c r="AL341" s="1570"/>
      <c r="AP341" s="1720" t="s">
        <v>909</v>
      </c>
      <c r="AQ341" s="2075">
        <f>AB341+AD341+AF341</f>
        <v>0</v>
      </c>
      <c r="AR341" s="1705">
        <f t="shared" si="198"/>
        <v>0</v>
      </c>
    </row>
    <row r="342" spans="2:46">
      <c r="E342" s="1520"/>
      <c r="F342" s="8"/>
      <c r="G342" s="142"/>
      <c r="H342" s="4"/>
      <c r="I342" s="8"/>
      <c r="J342" s="137"/>
      <c r="M342" s="141"/>
      <c r="Q342" s="1570"/>
      <c r="S342" s="1570"/>
      <c r="U342" s="367"/>
      <c r="W342" s="367"/>
      <c r="Y342" s="367"/>
      <c r="AC342" s="62"/>
      <c r="AE342" s="62"/>
      <c r="AF342" s="1570"/>
      <c r="AG342" s="786"/>
      <c r="AH342" s="1570"/>
      <c r="AI342" s="62"/>
      <c r="AJ342" s="282"/>
      <c r="AK342" s="62"/>
      <c r="AL342" s="1570"/>
    </row>
    <row r="343" spans="2:46">
      <c r="E343" s="4"/>
      <c r="F343" s="8"/>
      <c r="G343" s="142"/>
      <c r="M343" s="141"/>
      <c r="Q343" s="1570"/>
      <c r="S343" s="1570"/>
      <c r="U343" s="367"/>
      <c r="W343" s="367"/>
      <c r="Y343" s="1581"/>
      <c r="AB343" s="4"/>
      <c r="AC343" s="62"/>
      <c r="AD343" s="8"/>
      <c r="AE343" s="62"/>
      <c r="AF343" s="1570"/>
      <c r="AG343" s="786"/>
      <c r="AH343" s="1570"/>
      <c r="AI343" s="62"/>
      <c r="AJ343" s="282"/>
      <c r="AK343" s="62"/>
      <c r="AL343" s="1570"/>
    </row>
    <row r="344" spans="2:46">
      <c r="E344" s="4"/>
      <c r="F344" s="8"/>
      <c r="G344" s="142"/>
      <c r="O344" t="s">
        <v>872</v>
      </c>
      <c r="Y344" s="1570"/>
      <c r="AK344" s="62"/>
      <c r="AL344" s="1570"/>
    </row>
    <row r="345" spans="2:46">
      <c r="C345" s="171" t="s">
        <v>551</v>
      </c>
      <c r="G345" s="2"/>
      <c r="H345" s="2"/>
      <c r="I345" s="2"/>
      <c r="L345" s="2"/>
      <c r="Q345" s="1570"/>
      <c r="S345" s="1570"/>
      <c r="U345" s="367"/>
      <c r="W345" s="367"/>
      <c r="Y345" s="367"/>
      <c r="AA345" t="s">
        <v>872</v>
      </c>
      <c r="AK345" s="62"/>
      <c r="AL345" s="1570"/>
    </row>
    <row r="346" spans="2:46">
      <c r="C346"/>
      <c r="D346" s="94" t="s">
        <v>354</v>
      </c>
      <c r="F346" s="15"/>
      <c r="K346" s="87"/>
      <c r="O346" s="517"/>
      <c r="Q346" s="1570"/>
      <c r="S346" s="1570"/>
      <c r="U346" s="1570"/>
      <c r="W346" s="1570"/>
      <c r="Y346" s="1570"/>
      <c r="AA346" s="94" t="str">
        <f>O351</f>
        <v>7- й   день</v>
      </c>
      <c r="AB346" s="201" t="s">
        <v>513</v>
      </c>
      <c r="AG346" s="129" t="s">
        <v>173</v>
      </c>
      <c r="AI346" s="45" t="s">
        <v>558</v>
      </c>
      <c r="AJ346" s="63"/>
      <c r="AK346" s="62"/>
      <c r="AL346" s="1570"/>
    </row>
    <row r="347" spans="2:46">
      <c r="Q347" s="1570"/>
      <c r="S347" s="1570"/>
      <c r="U347" s="1570"/>
      <c r="W347" s="1570"/>
      <c r="Y347" s="1570"/>
      <c r="AC347" s="62"/>
      <c r="AE347" s="62"/>
      <c r="AF347" s="1570"/>
      <c r="AG347" s="786"/>
      <c r="AH347" s="1570"/>
      <c r="AI347" s="62"/>
      <c r="AJ347" s="282"/>
      <c r="AK347" s="62"/>
      <c r="AL347" s="1570"/>
    </row>
    <row r="348" spans="2:46">
      <c r="C348" s="1" t="s">
        <v>552</v>
      </c>
      <c r="Q348" s="1570"/>
      <c r="S348" s="1570"/>
      <c r="U348" s="1570"/>
      <c r="W348" s="1570"/>
      <c r="Y348" s="1570"/>
      <c r="AC348" s="62"/>
      <c r="AE348" s="62"/>
      <c r="AF348" s="1570"/>
      <c r="AG348" s="786"/>
      <c r="AH348" s="1684"/>
      <c r="AI348" s="62"/>
      <c r="AJ348" s="282"/>
      <c r="AK348" s="62"/>
      <c r="AL348" s="1570"/>
    </row>
    <row r="349" spans="2:46">
      <c r="C349" s="1" t="s">
        <v>553</v>
      </c>
      <c r="Q349" s="1570"/>
      <c r="S349" s="1570"/>
      <c r="U349" s="1570"/>
      <c r="W349" s="1570"/>
      <c r="Y349" s="1570"/>
      <c r="AC349" s="62"/>
      <c r="AE349" s="62"/>
      <c r="AF349" s="1570"/>
      <c r="AG349" s="786"/>
      <c r="AH349" s="1570"/>
      <c r="AI349" s="62"/>
      <c r="AJ349" s="282"/>
      <c r="AK349" s="62"/>
      <c r="AL349" s="1570"/>
    </row>
    <row r="350" spans="2:46" ht="15.75" thickBot="1">
      <c r="C350" s="1" t="s">
        <v>553</v>
      </c>
      <c r="E350" t="s">
        <v>554</v>
      </c>
      <c r="Q350" s="1570"/>
      <c r="S350" s="1570"/>
      <c r="U350" s="1570"/>
      <c r="W350" s="1570"/>
      <c r="Y350" s="1570"/>
      <c r="AC350" s="62"/>
      <c r="AE350" s="62"/>
      <c r="AF350" s="1570"/>
      <c r="AG350" s="786"/>
      <c r="AH350" s="1570"/>
      <c r="AI350" s="62"/>
      <c r="AJ350" s="282"/>
      <c r="AK350" s="62"/>
      <c r="AL350" s="1570"/>
    </row>
    <row r="351" spans="2:46" ht="16.5" thickBot="1">
      <c r="C351" s="1" t="s">
        <v>555</v>
      </c>
      <c r="E351" t="s">
        <v>556</v>
      </c>
      <c r="O351" s="1936" t="s">
        <v>916</v>
      </c>
      <c r="P351" s="516" t="s">
        <v>513</v>
      </c>
      <c r="Q351" s="38"/>
      <c r="R351" s="38"/>
      <c r="S351" s="38"/>
      <c r="T351" s="38"/>
      <c r="U351" s="1937" t="s">
        <v>173</v>
      </c>
      <c r="V351" s="38"/>
      <c r="W351" s="1938" t="s">
        <v>558</v>
      </c>
      <c r="X351" s="1939"/>
      <c r="Y351" s="1582"/>
      <c r="AC351" s="62"/>
      <c r="AE351" s="62"/>
      <c r="AF351" s="1570"/>
      <c r="AG351" s="786"/>
      <c r="AH351" s="1570"/>
      <c r="AI351" s="62"/>
      <c r="AJ351" s="282"/>
      <c r="AK351" s="62"/>
      <c r="AL351" s="1570"/>
      <c r="AM351" s="37"/>
      <c r="AN351" s="312" t="s">
        <v>893</v>
      </c>
      <c r="AO351" s="38"/>
      <c r="AP351" s="68"/>
      <c r="AQ351" s="38"/>
      <c r="AR351" s="50"/>
    </row>
    <row r="352" spans="2:46" ht="15.75" thickBot="1">
      <c r="C352" s="1" t="s">
        <v>555</v>
      </c>
      <c r="E352" t="s">
        <v>557</v>
      </c>
      <c r="O352" s="1612" t="s">
        <v>508</v>
      </c>
      <c r="P352" s="1676" t="s">
        <v>886</v>
      </c>
      <c r="Q352" s="1602"/>
      <c r="R352" s="1676" t="s">
        <v>885</v>
      </c>
      <c r="S352" s="1602"/>
      <c r="T352" s="1676" t="s">
        <v>887</v>
      </c>
      <c r="U352" s="1602"/>
      <c r="V352" s="1676" t="s">
        <v>889</v>
      </c>
      <c r="W352" s="1602"/>
      <c r="X352" s="1977" t="s">
        <v>891</v>
      </c>
      <c r="Y352" s="1978"/>
      <c r="AA352" s="1612" t="s">
        <v>508</v>
      </c>
      <c r="AB352" s="1676" t="s">
        <v>886</v>
      </c>
      <c r="AC352" s="1602"/>
      <c r="AD352" s="1676" t="s">
        <v>885</v>
      </c>
      <c r="AE352" s="1602"/>
      <c r="AF352" s="1676" t="s">
        <v>887</v>
      </c>
      <c r="AG352" s="1602"/>
      <c r="AH352" s="1676" t="s">
        <v>888</v>
      </c>
      <c r="AI352" s="1602"/>
      <c r="AJ352" s="1798" t="s">
        <v>890</v>
      </c>
      <c r="AK352" s="1602"/>
      <c r="AM352" s="1612" t="s">
        <v>508</v>
      </c>
      <c r="AN352" s="1862" t="s">
        <v>892</v>
      </c>
      <c r="AO352" s="1832"/>
      <c r="AP352" s="1612" t="s">
        <v>508</v>
      </c>
      <c r="AQ352" s="2001" t="s">
        <v>892</v>
      </c>
      <c r="AR352" s="1841"/>
      <c r="AT352" s="2"/>
    </row>
    <row r="353" spans="2:46" ht="15.75" thickBot="1">
      <c r="O353" s="871"/>
      <c r="P353" s="1621" t="s">
        <v>119</v>
      </c>
      <c r="Q353" s="1622" t="s">
        <v>120</v>
      </c>
      <c r="R353" s="1621" t="s">
        <v>119</v>
      </c>
      <c r="S353" s="1622" t="s">
        <v>120</v>
      </c>
      <c r="T353" s="1621" t="s">
        <v>119</v>
      </c>
      <c r="U353" s="1622" t="s">
        <v>120</v>
      </c>
      <c r="V353" s="1621" t="s">
        <v>119</v>
      </c>
      <c r="W353" s="1622" t="s">
        <v>120</v>
      </c>
      <c r="X353" s="1804" t="s">
        <v>119</v>
      </c>
      <c r="Y353" s="1822" t="s">
        <v>120</v>
      </c>
      <c r="AA353" s="2003" t="s">
        <v>67</v>
      </c>
      <c r="AB353" s="1621" t="s">
        <v>119</v>
      </c>
      <c r="AC353" s="1664" t="s">
        <v>120</v>
      </c>
      <c r="AD353" s="1637" t="s">
        <v>119</v>
      </c>
      <c r="AE353" s="1638" t="s">
        <v>120</v>
      </c>
      <c r="AF353" s="1637" t="s">
        <v>119</v>
      </c>
      <c r="AG353" s="1638" t="s">
        <v>120</v>
      </c>
      <c r="AH353" s="1621" t="s">
        <v>119</v>
      </c>
      <c r="AI353" s="1622" t="s">
        <v>120</v>
      </c>
      <c r="AJ353" s="1799" t="s">
        <v>119</v>
      </c>
      <c r="AK353" s="1622" t="s">
        <v>120</v>
      </c>
      <c r="AM353" s="871"/>
      <c r="AN353" s="1863" t="s">
        <v>119</v>
      </c>
      <c r="AO353" s="1833" t="s">
        <v>120</v>
      </c>
      <c r="AP353" s="2143" t="s">
        <v>67</v>
      </c>
      <c r="AQ353" s="2002" t="s">
        <v>119</v>
      </c>
      <c r="AR353" s="2144" t="s">
        <v>120</v>
      </c>
      <c r="AT353" s="855"/>
    </row>
    <row r="354" spans="2:46">
      <c r="B354" s="2" t="s">
        <v>513</v>
      </c>
      <c r="F354" s="129" t="s">
        <v>173</v>
      </c>
      <c r="I354" s="13" t="s">
        <v>558</v>
      </c>
      <c r="K354" s="346"/>
      <c r="O354" s="1992" t="s">
        <v>165</v>
      </c>
      <c r="P354" s="1731">
        <f>D366</f>
        <v>30</v>
      </c>
      <c r="Q354" s="2018">
        <f>D366</f>
        <v>30</v>
      </c>
      <c r="R354" s="1731">
        <f>D376</f>
        <v>40</v>
      </c>
      <c r="S354" s="2018">
        <f>D376</f>
        <v>40</v>
      </c>
      <c r="T354" s="1731"/>
      <c r="U354" s="2018"/>
      <c r="V354" s="1731">
        <f>P354+R354</f>
        <v>70</v>
      </c>
      <c r="W354" s="2019">
        <f>Q354+S354</f>
        <v>70</v>
      </c>
      <c r="X354" s="1731">
        <f>R354+T354</f>
        <v>40</v>
      </c>
      <c r="Y354" s="1583">
        <f>S354+U354</f>
        <v>40</v>
      </c>
      <c r="AA354" s="178" t="s">
        <v>459</v>
      </c>
      <c r="AB354" s="2035"/>
      <c r="AC354" s="840"/>
      <c r="AD354" s="1792"/>
      <c r="AE354" s="1597"/>
      <c r="AF354" s="1792">
        <f>F389</f>
        <v>3.91</v>
      </c>
      <c r="AG354" s="1681">
        <f>G389</f>
        <v>2.34</v>
      </c>
      <c r="AH354" s="1792">
        <f>AB354+AD354</f>
        <v>0</v>
      </c>
      <c r="AI354" s="1586">
        <f t="shared" ref="AI354:AJ368" si="212">AC354+AE354</f>
        <v>0</v>
      </c>
      <c r="AJ354" s="1792">
        <f>AD354+AF354</f>
        <v>3.91</v>
      </c>
      <c r="AK354" s="1583">
        <f t="shared" ref="AK354:AK368" si="213">AE354+AG354</f>
        <v>2.34</v>
      </c>
      <c r="AM354" s="1992" t="s">
        <v>165</v>
      </c>
      <c r="AN354" s="1743">
        <f>P354+R354+T354</f>
        <v>70</v>
      </c>
      <c r="AO354" s="858">
        <f>Q354+S354+U354</f>
        <v>70</v>
      </c>
      <c r="AP354" s="2034" t="s">
        <v>159</v>
      </c>
      <c r="AQ354" s="2112">
        <f>AB354+AD354+AF354</f>
        <v>3.91</v>
      </c>
      <c r="AR354" s="1808">
        <f>AC354+AE354+AG354</f>
        <v>2.34</v>
      </c>
    </row>
    <row r="355" spans="2:46" ht="15.75" thickBot="1">
      <c r="O355" s="1944" t="s">
        <v>164</v>
      </c>
      <c r="P355" s="1724">
        <f>D365</f>
        <v>50</v>
      </c>
      <c r="Q355" s="2020">
        <f>D365</f>
        <v>50</v>
      </c>
      <c r="R355" s="1724">
        <f>L380+D375</f>
        <v>83.5</v>
      </c>
      <c r="S355" s="2020">
        <f>M380+D375</f>
        <v>83.5</v>
      </c>
      <c r="T355" s="1724"/>
      <c r="U355" s="2020"/>
      <c r="V355" s="1724">
        <f t="shared" ref="V355:V383" si="214">P355+R355</f>
        <v>133.5</v>
      </c>
      <c r="W355" s="1586">
        <f t="shared" ref="W355:W384" si="215">Q355+S355</f>
        <v>133.5</v>
      </c>
      <c r="X355" s="1724">
        <f t="shared" ref="X355:X388" si="216">R355+T355</f>
        <v>83.5</v>
      </c>
      <c r="Y355" s="1585">
        <f t="shared" ref="Y355:Y384" si="217">S355+U355</f>
        <v>83.5</v>
      </c>
      <c r="AA355" s="178" t="s">
        <v>471</v>
      </c>
      <c r="AB355" s="444"/>
      <c r="AC355" s="841"/>
      <c r="AD355" s="1789"/>
      <c r="AE355" s="1597"/>
      <c r="AF355" s="1789"/>
      <c r="AG355" s="1681"/>
      <c r="AH355" s="1789">
        <f>AB355+AD355</f>
        <v>0</v>
      </c>
      <c r="AI355" s="1586">
        <f t="shared" si="212"/>
        <v>0</v>
      </c>
      <c r="AJ355" s="1789">
        <f>AD355+AF355</f>
        <v>0</v>
      </c>
      <c r="AK355" s="1605">
        <f>AE355+AG355</f>
        <v>0</v>
      </c>
      <c r="AM355" s="1944" t="s">
        <v>164</v>
      </c>
      <c r="AN355" s="1743">
        <f t="shared" ref="AN355:AN367" si="218">P355+R355+T355</f>
        <v>133.5</v>
      </c>
      <c r="AO355" s="858">
        <f t="shared" ref="AO355:AO384" si="219">Q355+S355+U355</f>
        <v>133.5</v>
      </c>
      <c r="AP355" s="2039" t="s">
        <v>70</v>
      </c>
      <c r="AQ355" s="1801">
        <f t="shared" ref="AQ355:AQ370" si="220">AB355+AD355+AF355</f>
        <v>0</v>
      </c>
      <c r="AR355" s="1809">
        <f t="shared" ref="AR355:AR369" si="221">AC355+AE355+AG355</f>
        <v>0</v>
      </c>
    </row>
    <row r="356" spans="2:46">
      <c r="B356" s="25" t="s">
        <v>565</v>
      </c>
      <c r="C356" s="83" t="s">
        <v>3</v>
      </c>
      <c r="D356" s="84" t="s">
        <v>4</v>
      </c>
      <c r="E356" s="88" t="s">
        <v>69</v>
      </c>
      <c r="F356" s="68"/>
      <c r="G356" s="68"/>
      <c r="H356" s="68"/>
      <c r="I356" s="68"/>
      <c r="J356" s="68"/>
      <c r="K356" s="68"/>
      <c r="L356" s="68"/>
      <c r="M356" s="54"/>
      <c r="O356" s="1993" t="s">
        <v>92</v>
      </c>
      <c r="P356" s="1724"/>
      <c r="Q356" s="1600"/>
      <c r="R356" s="1966">
        <f>L371</f>
        <v>4.05</v>
      </c>
      <c r="S356" s="1586">
        <f>M371</f>
        <v>4.05</v>
      </c>
      <c r="T356" s="1724">
        <f>I388</f>
        <v>2.75</v>
      </c>
      <c r="U356" s="1586">
        <f>J388</f>
        <v>2.75</v>
      </c>
      <c r="V356" s="1724">
        <f t="shared" si="214"/>
        <v>4.05</v>
      </c>
      <c r="W356" s="1586">
        <f t="shared" si="215"/>
        <v>4.05</v>
      </c>
      <c r="X356" s="1724">
        <f t="shared" si="216"/>
        <v>6.8</v>
      </c>
      <c r="Y356" s="1585">
        <f t="shared" si="217"/>
        <v>6.8</v>
      </c>
      <c r="AA356" s="125" t="s">
        <v>72</v>
      </c>
      <c r="AB356" s="444"/>
      <c r="AC356" s="842"/>
      <c r="AD356" s="1789"/>
      <c r="AE356" s="1597"/>
      <c r="AF356" s="1789"/>
      <c r="AG356" s="1681"/>
      <c r="AH356" s="1789">
        <f>AB356+AD356</f>
        <v>0</v>
      </c>
      <c r="AI356" s="1586">
        <f>AC356+AE356</f>
        <v>0</v>
      </c>
      <c r="AJ356" s="1789">
        <f>AD356+AF356</f>
        <v>0</v>
      </c>
      <c r="AK356" s="1585">
        <f t="shared" si="213"/>
        <v>0</v>
      </c>
      <c r="AM356" s="1993" t="s">
        <v>92</v>
      </c>
      <c r="AN356" s="1743">
        <f t="shared" si="218"/>
        <v>6.8</v>
      </c>
      <c r="AO356" s="858">
        <f t="shared" si="219"/>
        <v>6.8</v>
      </c>
      <c r="AP356" s="2100" t="s">
        <v>72</v>
      </c>
      <c r="AQ356" s="1801">
        <f t="shared" si="220"/>
        <v>0</v>
      </c>
      <c r="AR356" s="1809">
        <f t="shared" si="221"/>
        <v>0</v>
      </c>
    </row>
    <row r="357" spans="2:46" ht="15.75" thickBot="1">
      <c r="B357" s="287" t="s">
        <v>566</v>
      </c>
      <c r="C357"/>
      <c r="D357" s="288" t="s">
        <v>71</v>
      </c>
      <c r="E357" s="61"/>
      <c r="K357" s="29"/>
      <c r="L357" s="29"/>
      <c r="M357" s="74"/>
      <c r="O357" s="1996" t="s">
        <v>900</v>
      </c>
      <c r="P357" s="1725">
        <f t="shared" ref="P357:U357" si="222">AB392</f>
        <v>0</v>
      </c>
      <c r="Q357" s="1595">
        <f t="shared" si="222"/>
        <v>0</v>
      </c>
      <c r="R357" s="1725">
        <f t="shared" si="222"/>
        <v>5.05</v>
      </c>
      <c r="S357" s="1595">
        <f t="shared" si="222"/>
        <v>5.05</v>
      </c>
      <c r="T357" s="1725">
        <f t="shared" si="222"/>
        <v>0</v>
      </c>
      <c r="U357" s="1595">
        <f t="shared" si="222"/>
        <v>0</v>
      </c>
      <c r="V357" s="1725">
        <f>P357+R357</f>
        <v>5.05</v>
      </c>
      <c r="W357" s="1594">
        <f t="shared" si="215"/>
        <v>5.05</v>
      </c>
      <c r="X357" s="1725">
        <f t="shared" si="216"/>
        <v>5.05</v>
      </c>
      <c r="Y357" s="1820">
        <f t="shared" si="217"/>
        <v>5.05</v>
      </c>
      <c r="AA357" s="125" t="s">
        <v>647</v>
      </c>
      <c r="AB357" s="1789"/>
      <c r="AC357" s="843"/>
      <c r="AD357" s="1969">
        <f>I373</f>
        <v>37.799999999999997</v>
      </c>
      <c r="AE357" s="1597">
        <f>J373</f>
        <v>24.78</v>
      </c>
      <c r="AF357" s="1789"/>
      <c r="AG357" s="1681"/>
      <c r="AH357" s="1789">
        <f t="shared" ref="AH357:AH368" si="223">AB357+AD357</f>
        <v>37.799999999999997</v>
      </c>
      <c r="AI357" s="1586">
        <f t="shared" si="212"/>
        <v>24.78</v>
      </c>
      <c r="AJ357" s="1789">
        <f t="shared" si="212"/>
        <v>37.799999999999997</v>
      </c>
      <c r="AK357" s="1585">
        <f t="shared" si="213"/>
        <v>24.78</v>
      </c>
      <c r="AM357" s="1996" t="s">
        <v>900</v>
      </c>
      <c r="AN357" s="2076">
        <f t="shared" si="218"/>
        <v>5.05</v>
      </c>
      <c r="AO357" s="1594">
        <f t="shared" si="219"/>
        <v>5.05</v>
      </c>
      <c r="AP357" s="2100" t="s">
        <v>74</v>
      </c>
      <c r="AQ357" s="1801">
        <f t="shared" si="220"/>
        <v>37.799999999999997</v>
      </c>
      <c r="AR357" s="1809">
        <f t="shared" si="221"/>
        <v>24.78</v>
      </c>
    </row>
    <row r="358" spans="2:46" ht="16.5" thickBot="1">
      <c r="B358" s="868" t="s">
        <v>560</v>
      </c>
      <c r="C358" s="68"/>
      <c r="D358" s="960"/>
      <c r="E358" s="262" t="s">
        <v>415</v>
      </c>
      <c r="F358" s="38"/>
      <c r="G358" s="38"/>
      <c r="H358" s="281" t="s">
        <v>521</v>
      </c>
      <c r="I358" s="38"/>
      <c r="J358" s="50"/>
      <c r="K358" s="761" t="s">
        <v>520</v>
      </c>
      <c r="L358" s="1501"/>
      <c r="M358" s="1502"/>
      <c r="O358" s="1944" t="s">
        <v>123</v>
      </c>
      <c r="P358" s="1724"/>
      <c r="Q358" s="1569"/>
      <c r="R358" s="1724"/>
      <c r="S358" s="1569"/>
      <c r="T358" s="1970">
        <f>F386</f>
        <v>24</v>
      </c>
      <c r="U358" s="2021">
        <f>G386</f>
        <v>24</v>
      </c>
      <c r="V358" s="1724">
        <f t="shared" si="214"/>
        <v>0</v>
      </c>
      <c r="W358" s="1586">
        <f t="shared" si="215"/>
        <v>0</v>
      </c>
      <c r="X358" s="1724">
        <f t="shared" si="216"/>
        <v>24</v>
      </c>
      <c r="Y358" s="1585">
        <f t="shared" si="217"/>
        <v>24</v>
      </c>
      <c r="AA358" s="126" t="s">
        <v>112</v>
      </c>
      <c r="AB358" s="1789"/>
      <c r="AC358" s="842"/>
      <c r="AD358" s="1969"/>
      <c r="AE358" s="1597"/>
      <c r="AF358" s="1789"/>
      <c r="AG358" s="1681"/>
      <c r="AH358" s="1789">
        <f t="shared" si="223"/>
        <v>0</v>
      </c>
      <c r="AI358" s="1586">
        <f t="shared" si="212"/>
        <v>0</v>
      </c>
      <c r="AJ358" s="1789">
        <f t="shared" si="212"/>
        <v>0</v>
      </c>
      <c r="AK358" s="1585">
        <f t="shared" si="213"/>
        <v>0</v>
      </c>
      <c r="AM358" s="1944" t="s">
        <v>123</v>
      </c>
      <c r="AN358" s="1743">
        <f t="shared" si="218"/>
        <v>24</v>
      </c>
      <c r="AO358" s="858">
        <f t="shared" si="219"/>
        <v>24</v>
      </c>
      <c r="AP358" s="2039" t="s">
        <v>112</v>
      </c>
      <c r="AQ358" s="1801">
        <f t="shared" si="220"/>
        <v>0</v>
      </c>
      <c r="AR358" s="1809">
        <f t="shared" si="221"/>
        <v>0</v>
      </c>
    </row>
    <row r="359" spans="2:46" ht="15.75" thickBot="1">
      <c r="B359" s="809"/>
      <c r="C359" s="163" t="s">
        <v>199</v>
      </c>
      <c r="D359" s="130"/>
      <c r="E359" s="334" t="s">
        <v>118</v>
      </c>
      <c r="F359" s="252" t="s">
        <v>119</v>
      </c>
      <c r="G359" s="253" t="s">
        <v>120</v>
      </c>
      <c r="H359" s="334" t="s">
        <v>118</v>
      </c>
      <c r="I359" s="252" t="s">
        <v>119</v>
      </c>
      <c r="J359" s="253" t="s">
        <v>120</v>
      </c>
      <c r="K359" s="859" t="s">
        <v>518</v>
      </c>
      <c r="L359" s="29"/>
      <c r="M359" s="74"/>
      <c r="O359" s="560" t="s">
        <v>52</v>
      </c>
      <c r="P359" s="1724"/>
      <c r="Q359" s="1586"/>
      <c r="R359" s="1724">
        <f>F370+I370</f>
        <v>177.4</v>
      </c>
      <c r="S359" s="1569">
        <f>G370+J370</f>
        <v>132.6</v>
      </c>
      <c r="T359" s="1966"/>
      <c r="U359" s="1586"/>
      <c r="V359" s="1724">
        <f t="shared" si="214"/>
        <v>177.4</v>
      </c>
      <c r="W359" s="1586">
        <f t="shared" si="215"/>
        <v>132.6</v>
      </c>
      <c r="X359" s="1724">
        <f t="shared" si="216"/>
        <v>177.4</v>
      </c>
      <c r="Y359" s="1585">
        <f t="shared" si="217"/>
        <v>132.6</v>
      </c>
      <c r="AA359" s="125" t="s">
        <v>161</v>
      </c>
      <c r="AB359" s="1789"/>
      <c r="AC359" s="842"/>
      <c r="AD359" s="1789"/>
      <c r="AE359" s="1598"/>
      <c r="AF359" s="1789"/>
      <c r="AG359" s="1681"/>
      <c r="AH359" s="1789">
        <f t="shared" si="223"/>
        <v>0</v>
      </c>
      <c r="AI359" s="1586">
        <f t="shared" si="212"/>
        <v>0</v>
      </c>
      <c r="AJ359" s="1789">
        <f t="shared" si="212"/>
        <v>0</v>
      </c>
      <c r="AK359" s="1585">
        <f t="shared" si="213"/>
        <v>0</v>
      </c>
      <c r="AM359" s="495" t="s">
        <v>52</v>
      </c>
      <c r="AN359" s="1743">
        <f t="shared" si="218"/>
        <v>177.4</v>
      </c>
      <c r="AO359" s="858">
        <f t="shared" si="219"/>
        <v>132.6</v>
      </c>
      <c r="AP359" s="2100" t="s">
        <v>161</v>
      </c>
      <c r="AQ359" s="1801">
        <f t="shared" si="220"/>
        <v>0</v>
      </c>
      <c r="AR359" s="1809">
        <f t="shared" si="221"/>
        <v>0</v>
      </c>
    </row>
    <row r="360" spans="2:46" ht="15.75" thickBot="1">
      <c r="B360" s="1184" t="s">
        <v>630</v>
      </c>
      <c r="C360" s="283" t="s">
        <v>396</v>
      </c>
      <c r="D360" s="332">
        <v>60</v>
      </c>
      <c r="E360" s="265" t="s">
        <v>238</v>
      </c>
      <c r="F360" s="744">
        <v>68.63</v>
      </c>
      <c r="G360" s="132">
        <v>61.1</v>
      </c>
      <c r="H360" s="192" t="s">
        <v>79</v>
      </c>
      <c r="I360" s="256">
        <v>47.6</v>
      </c>
      <c r="J360" s="257">
        <v>38.15</v>
      </c>
      <c r="K360" s="263" t="s">
        <v>118</v>
      </c>
      <c r="L360" s="97" t="s">
        <v>119</v>
      </c>
      <c r="M360" s="135" t="s">
        <v>120</v>
      </c>
      <c r="O360" s="2016" t="s">
        <v>912</v>
      </c>
      <c r="P360" s="2050">
        <f t="shared" ref="P360:U360" si="224">AB369</f>
        <v>132.16</v>
      </c>
      <c r="Q360" s="1598">
        <f t="shared" si="224"/>
        <v>112.35</v>
      </c>
      <c r="R360" s="2050">
        <f t="shared" si="224"/>
        <v>231.21700000000001</v>
      </c>
      <c r="S360" s="2165">
        <f t="shared" si="224"/>
        <v>185.28000000000003</v>
      </c>
      <c r="T360" s="1726">
        <f t="shared" si="224"/>
        <v>54.150000000000006</v>
      </c>
      <c r="U360" s="1598">
        <f t="shared" si="224"/>
        <v>42.34</v>
      </c>
      <c r="V360" s="2050">
        <f>P360+R360</f>
        <v>363.37700000000001</v>
      </c>
      <c r="W360" s="1597">
        <f t="shared" si="215"/>
        <v>297.63</v>
      </c>
      <c r="X360" s="2086">
        <f>R360+T360</f>
        <v>285.36700000000002</v>
      </c>
      <c r="Y360" s="1604">
        <f t="shared" si="217"/>
        <v>227.62000000000003</v>
      </c>
      <c r="AA360" s="125" t="s">
        <v>155</v>
      </c>
      <c r="AB360" s="2083"/>
      <c r="AC360" s="842"/>
      <c r="AD360" s="2083">
        <f>I374</f>
        <v>45</v>
      </c>
      <c r="AE360" s="1597">
        <f>J374</f>
        <v>36</v>
      </c>
      <c r="AF360" s="1789"/>
      <c r="AG360" s="1681"/>
      <c r="AH360" s="1789">
        <f t="shared" si="223"/>
        <v>45</v>
      </c>
      <c r="AI360" s="1586">
        <f t="shared" si="212"/>
        <v>36</v>
      </c>
      <c r="AJ360" s="1789">
        <f t="shared" si="212"/>
        <v>45</v>
      </c>
      <c r="AK360" s="1585">
        <f t="shared" si="213"/>
        <v>36</v>
      </c>
      <c r="AM360" s="2016" t="s">
        <v>96</v>
      </c>
      <c r="AN360" s="2077">
        <f t="shared" si="218"/>
        <v>417.52700000000004</v>
      </c>
      <c r="AO360" s="1597">
        <f t="shared" si="219"/>
        <v>339.97</v>
      </c>
      <c r="AP360" s="2100" t="s">
        <v>155</v>
      </c>
      <c r="AQ360" s="1801">
        <f t="shared" si="220"/>
        <v>45</v>
      </c>
      <c r="AR360" s="1809">
        <f t="shared" si="221"/>
        <v>36</v>
      </c>
    </row>
    <row r="361" spans="2:46" ht="15.75" thickBot="1">
      <c r="B361" s="1527" t="s">
        <v>820</v>
      </c>
      <c r="C361" s="283" t="s">
        <v>522</v>
      </c>
      <c r="D361" s="166" t="s">
        <v>580</v>
      </c>
      <c r="E361" s="186" t="s">
        <v>193</v>
      </c>
      <c r="F361" s="233">
        <v>16.760000000000002</v>
      </c>
      <c r="G361" s="235">
        <v>14.2</v>
      </c>
      <c r="H361" s="1095" t="s">
        <v>95</v>
      </c>
      <c r="I361" s="302">
        <v>1.1000000000000001</v>
      </c>
      <c r="J361" s="481">
        <v>1.1000000000000001</v>
      </c>
      <c r="K361" s="480" t="s">
        <v>68</v>
      </c>
      <c r="L361" s="1503">
        <v>200</v>
      </c>
      <c r="M361" s="1504">
        <v>200</v>
      </c>
      <c r="O361" s="1943" t="s">
        <v>901</v>
      </c>
      <c r="P361" s="1727">
        <f t="shared" ref="P361:U361" si="225">AB376</f>
        <v>131.14500000000001</v>
      </c>
      <c r="Q361" s="1586">
        <f t="shared" si="225"/>
        <v>105</v>
      </c>
      <c r="R361" s="1727">
        <f t="shared" si="225"/>
        <v>0</v>
      </c>
      <c r="S361" s="1569">
        <f t="shared" si="225"/>
        <v>0</v>
      </c>
      <c r="T361" s="1727">
        <f t="shared" si="225"/>
        <v>0</v>
      </c>
      <c r="U361" s="1569">
        <f t="shared" si="225"/>
        <v>0</v>
      </c>
      <c r="V361" s="1727">
        <f>P361+R361</f>
        <v>131.14500000000001</v>
      </c>
      <c r="W361" s="1586">
        <f t="shared" si="215"/>
        <v>105</v>
      </c>
      <c r="X361" s="1727">
        <f>R361+T361</f>
        <v>0</v>
      </c>
      <c r="Y361" s="1585">
        <f t="shared" si="217"/>
        <v>0</v>
      </c>
      <c r="AA361" s="125" t="s">
        <v>158</v>
      </c>
      <c r="AB361" s="1789"/>
      <c r="AC361" s="844"/>
      <c r="AD361" s="1789"/>
      <c r="AE361" s="1598"/>
      <c r="AF361" s="1789"/>
      <c r="AG361" s="1681"/>
      <c r="AH361" s="1789">
        <f t="shared" si="223"/>
        <v>0</v>
      </c>
      <c r="AI361" s="1586">
        <f t="shared" si="212"/>
        <v>0</v>
      </c>
      <c r="AJ361" s="1789">
        <f t="shared" si="212"/>
        <v>0</v>
      </c>
      <c r="AK361" s="1585">
        <f t="shared" si="213"/>
        <v>0</v>
      </c>
      <c r="AM361" s="1943" t="s">
        <v>901</v>
      </c>
      <c r="AN361" s="1743">
        <f t="shared" si="218"/>
        <v>131.14500000000001</v>
      </c>
      <c r="AO361" s="858">
        <f t="shared" si="219"/>
        <v>105</v>
      </c>
      <c r="AP361" s="2100" t="s">
        <v>158</v>
      </c>
      <c r="AQ361" s="1801">
        <f t="shared" si="220"/>
        <v>0</v>
      </c>
      <c r="AR361" s="1809">
        <f t="shared" si="221"/>
        <v>0</v>
      </c>
    </row>
    <row r="362" spans="2:46" ht="15.75" thickBot="1">
      <c r="B362" s="359" t="s">
        <v>523</v>
      </c>
      <c r="C362" s="1099" t="s">
        <v>525</v>
      </c>
      <c r="D362" s="341"/>
      <c r="E362" s="185" t="s">
        <v>178</v>
      </c>
      <c r="F362" s="331">
        <v>10.42</v>
      </c>
      <c r="G362" s="236">
        <v>10</v>
      </c>
      <c r="H362" s="473" t="s">
        <v>1013</v>
      </c>
      <c r="I362" s="38"/>
      <c r="J362" s="38"/>
      <c r="K362" s="1505" t="s">
        <v>126</v>
      </c>
      <c r="L362" s="276">
        <v>6</v>
      </c>
      <c r="M362" s="236">
        <v>6</v>
      </c>
      <c r="O362" s="1947" t="s">
        <v>122</v>
      </c>
      <c r="P362" s="1727"/>
      <c r="Q362" s="1569"/>
      <c r="R362" s="1727"/>
      <c r="S362" s="1569"/>
      <c r="T362" s="1727"/>
      <c r="U362" s="1569"/>
      <c r="V362" s="1724">
        <f t="shared" si="214"/>
        <v>0</v>
      </c>
      <c r="W362" s="1586">
        <f t="shared" si="215"/>
        <v>0</v>
      </c>
      <c r="X362" s="1727">
        <f>R362+T362</f>
        <v>0</v>
      </c>
      <c r="Y362" s="1585">
        <f t="shared" si="217"/>
        <v>0</v>
      </c>
      <c r="AA362" s="125" t="s">
        <v>101</v>
      </c>
      <c r="AB362" s="1789"/>
      <c r="AC362" s="1959"/>
      <c r="AD362" s="1969">
        <f>F373+I372</f>
        <v>24</v>
      </c>
      <c r="AE362" s="1598">
        <f>G373+J372</f>
        <v>19.399999999999999</v>
      </c>
      <c r="AF362" s="1789"/>
      <c r="AG362" s="1681"/>
      <c r="AH362" s="1789">
        <f t="shared" si="223"/>
        <v>24</v>
      </c>
      <c r="AI362" s="1586">
        <f t="shared" si="212"/>
        <v>19.399999999999999</v>
      </c>
      <c r="AJ362" s="1789">
        <f t="shared" si="212"/>
        <v>24</v>
      </c>
      <c r="AK362" s="1585">
        <f t="shared" si="213"/>
        <v>19.399999999999999</v>
      </c>
      <c r="AM362" s="1947" t="s">
        <v>122</v>
      </c>
      <c r="AN362" s="1743">
        <f t="shared" si="218"/>
        <v>0</v>
      </c>
      <c r="AO362" s="858">
        <f t="shared" si="219"/>
        <v>0</v>
      </c>
      <c r="AP362" s="2100" t="s">
        <v>101</v>
      </c>
      <c r="AQ362" s="1801">
        <f t="shared" si="220"/>
        <v>24</v>
      </c>
      <c r="AR362" s="1809">
        <f t="shared" si="221"/>
        <v>19.399999999999999</v>
      </c>
    </row>
    <row r="363" spans="2:46" ht="15.75" thickBot="1">
      <c r="B363" s="407" t="s">
        <v>490</v>
      </c>
      <c r="C363" s="756" t="s">
        <v>520</v>
      </c>
      <c r="D363" s="981">
        <v>200</v>
      </c>
      <c r="E363" s="185" t="s">
        <v>175</v>
      </c>
      <c r="F363" s="271" t="s">
        <v>989</v>
      </c>
      <c r="G363" s="236">
        <v>97.4</v>
      </c>
      <c r="H363" s="263" t="s">
        <v>118</v>
      </c>
      <c r="I363" s="97" t="s">
        <v>119</v>
      </c>
      <c r="J363" s="292" t="s">
        <v>120</v>
      </c>
      <c r="K363" s="301" t="s">
        <v>57</v>
      </c>
      <c r="L363" s="302">
        <v>5</v>
      </c>
      <c r="M363" s="323">
        <v>5</v>
      </c>
      <c r="O363" s="1993" t="s">
        <v>922</v>
      </c>
      <c r="P363" s="1724"/>
      <c r="Q363" s="1569"/>
      <c r="R363" s="1724">
        <f>D374</f>
        <v>200</v>
      </c>
      <c r="S363" s="1569">
        <f>D374</f>
        <v>200</v>
      </c>
      <c r="T363" s="1724"/>
      <c r="U363" s="1569"/>
      <c r="V363" s="1724">
        <f t="shared" si="214"/>
        <v>200</v>
      </c>
      <c r="W363" s="1586">
        <f t="shared" si="215"/>
        <v>200</v>
      </c>
      <c r="X363" s="1724">
        <f t="shared" si="216"/>
        <v>200</v>
      </c>
      <c r="Y363" s="1585">
        <f t="shared" si="217"/>
        <v>200</v>
      </c>
      <c r="AA363" s="125" t="s">
        <v>79</v>
      </c>
      <c r="AB363" s="1789">
        <f>I360</f>
        <v>47.6</v>
      </c>
      <c r="AC363" s="1957">
        <f>J360</f>
        <v>38.15</v>
      </c>
      <c r="AD363" s="1969">
        <f>F372+I371</f>
        <v>48.5</v>
      </c>
      <c r="AE363" s="1598">
        <f>G372+J371</f>
        <v>38.799999999999997</v>
      </c>
      <c r="AF363" s="1789">
        <f>F390</f>
        <v>50.24</v>
      </c>
      <c r="AG363" s="1681">
        <f>G390</f>
        <v>40</v>
      </c>
      <c r="AH363" s="1789">
        <f t="shared" si="223"/>
        <v>96.1</v>
      </c>
      <c r="AI363" s="1586">
        <f t="shared" si="212"/>
        <v>76.949999999999989</v>
      </c>
      <c r="AJ363" s="1789">
        <f t="shared" si="212"/>
        <v>98.740000000000009</v>
      </c>
      <c r="AK363" s="1585">
        <f t="shared" si="213"/>
        <v>78.8</v>
      </c>
      <c r="AM363" s="1993" t="s">
        <v>163</v>
      </c>
      <c r="AN363" s="1743">
        <f t="shared" si="218"/>
        <v>200</v>
      </c>
      <c r="AO363" s="858">
        <f t="shared" si="219"/>
        <v>200</v>
      </c>
      <c r="AP363" s="2100" t="s">
        <v>79</v>
      </c>
      <c r="AQ363" s="1801">
        <f t="shared" si="220"/>
        <v>146.34</v>
      </c>
      <c r="AR363" s="1809">
        <f t="shared" si="221"/>
        <v>116.94999999999999</v>
      </c>
    </row>
    <row r="364" spans="2:46" ht="15.75" thickBot="1">
      <c r="B364" s="404" t="s">
        <v>127</v>
      </c>
      <c r="C364" s="1220" t="s">
        <v>518</v>
      </c>
      <c r="D364" s="71"/>
      <c r="E364" s="185" t="s">
        <v>93</v>
      </c>
      <c r="F364" s="233">
        <v>30.7</v>
      </c>
      <c r="G364" s="275">
        <v>30.7</v>
      </c>
      <c r="H364" s="480" t="s">
        <v>416</v>
      </c>
      <c r="I364" s="889">
        <v>131.14500000000001</v>
      </c>
      <c r="J364" s="762">
        <v>105</v>
      </c>
      <c r="K364" s="186" t="s">
        <v>94</v>
      </c>
      <c r="L364" s="276">
        <v>20</v>
      </c>
      <c r="M364" s="236">
        <v>20</v>
      </c>
      <c r="O364" s="560" t="s">
        <v>895</v>
      </c>
      <c r="P364" s="1724">
        <f t="shared" ref="P364:U364" si="226">AB379</f>
        <v>0</v>
      </c>
      <c r="Q364" s="1569">
        <f t="shared" si="226"/>
        <v>0</v>
      </c>
      <c r="R364" s="1724">
        <f t="shared" si="226"/>
        <v>36.43</v>
      </c>
      <c r="S364" s="1586">
        <f t="shared" si="226"/>
        <v>28.4</v>
      </c>
      <c r="T364" s="1724">
        <f t="shared" si="226"/>
        <v>0</v>
      </c>
      <c r="U364" s="1569">
        <f t="shared" si="226"/>
        <v>0</v>
      </c>
      <c r="V364" s="1724">
        <f t="shared" si="214"/>
        <v>36.43</v>
      </c>
      <c r="W364" s="1586">
        <f t="shared" si="215"/>
        <v>28.4</v>
      </c>
      <c r="X364" s="1724">
        <f t="shared" si="216"/>
        <v>36.43</v>
      </c>
      <c r="Y364" s="1585">
        <f t="shared" si="217"/>
        <v>28.4</v>
      </c>
      <c r="AA364" s="125" t="s">
        <v>86</v>
      </c>
      <c r="AB364" s="1789"/>
      <c r="AC364" s="1960"/>
      <c r="AD364" s="1789"/>
      <c r="AE364" s="1598"/>
      <c r="AF364" s="1789"/>
      <c r="AG364" s="1681"/>
      <c r="AH364" s="1789">
        <f t="shared" si="223"/>
        <v>0</v>
      </c>
      <c r="AI364" s="1586">
        <f t="shared" si="212"/>
        <v>0</v>
      </c>
      <c r="AJ364" s="1789">
        <f t="shared" si="212"/>
        <v>0</v>
      </c>
      <c r="AK364" s="1585">
        <f t="shared" si="213"/>
        <v>0</v>
      </c>
      <c r="AM364" s="560" t="s">
        <v>895</v>
      </c>
      <c r="AN364" s="1743">
        <f t="shared" si="218"/>
        <v>36.43</v>
      </c>
      <c r="AO364" s="858">
        <f t="shared" si="219"/>
        <v>28.4</v>
      </c>
      <c r="AP364" s="2100" t="s">
        <v>86</v>
      </c>
      <c r="AQ364" s="1801">
        <f t="shared" si="220"/>
        <v>0</v>
      </c>
      <c r="AR364" s="1809">
        <f t="shared" si="221"/>
        <v>0</v>
      </c>
    </row>
    <row r="365" spans="2:46" ht="15.75" thickBot="1">
      <c r="B365" s="246" t="s">
        <v>10</v>
      </c>
      <c r="C365" s="241" t="s">
        <v>11</v>
      </c>
      <c r="D365" s="239">
        <v>50</v>
      </c>
      <c r="E365" s="249" t="s">
        <v>61</v>
      </c>
      <c r="F365" s="251">
        <v>0.66</v>
      </c>
      <c r="G365" s="481">
        <v>0.66</v>
      </c>
      <c r="H365" s="263" t="s">
        <v>424</v>
      </c>
      <c r="I365" s="278"/>
      <c r="J365" s="38"/>
      <c r="K365" s="61"/>
      <c r="M365" s="71"/>
      <c r="O365" s="1944" t="s">
        <v>894</v>
      </c>
      <c r="P365" s="1724">
        <f t="shared" ref="P365:U365" si="227">AB383</f>
        <v>68.63</v>
      </c>
      <c r="Q365" s="1586">
        <f t="shared" si="227"/>
        <v>61.1</v>
      </c>
      <c r="R365" s="1724">
        <f t="shared" si="227"/>
        <v>50.765000000000001</v>
      </c>
      <c r="S365" s="2085">
        <f t="shared" si="227"/>
        <v>44.66</v>
      </c>
      <c r="T365" s="1724">
        <f t="shared" si="227"/>
        <v>0</v>
      </c>
      <c r="U365" s="2021">
        <f t="shared" si="227"/>
        <v>0</v>
      </c>
      <c r="V365" s="1724">
        <f t="shared" si="214"/>
        <v>119.395</v>
      </c>
      <c r="W365" s="1586">
        <f t="shared" si="215"/>
        <v>105.75999999999999</v>
      </c>
      <c r="X365" s="1724">
        <f t="shared" si="216"/>
        <v>50.765000000000001</v>
      </c>
      <c r="Y365" s="1585">
        <f t="shared" si="217"/>
        <v>44.66</v>
      </c>
      <c r="AA365" s="125" t="s">
        <v>160</v>
      </c>
      <c r="AB365" s="1789">
        <f>F361+I367</f>
        <v>84.56</v>
      </c>
      <c r="AC365" s="1961">
        <f>G361+J367</f>
        <v>74.2</v>
      </c>
      <c r="AD365" s="1789"/>
      <c r="AE365" s="1598"/>
      <c r="AF365" s="1789"/>
      <c r="AG365" s="1681"/>
      <c r="AH365" s="1789">
        <f t="shared" si="223"/>
        <v>84.56</v>
      </c>
      <c r="AI365" s="1586">
        <f t="shared" si="212"/>
        <v>74.2</v>
      </c>
      <c r="AJ365" s="1789">
        <f t="shared" si="212"/>
        <v>0</v>
      </c>
      <c r="AK365" s="1585">
        <f t="shared" si="213"/>
        <v>0</v>
      </c>
      <c r="AM365" s="1944" t="s">
        <v>894</v>
      </c>
      <c r="AN365" s="1743">
        <f t="shared" si="218"/>
        <v>119.395</v>
      </c>
      <c r="AO365" s="858">
        <f t="shared" si="219"/>
        <v>105.75999999999999</v>
      </c>
      <c r="AP365" s="2100" t="s">
        <v>160</v>
      </c>
      <c r="AQ365" s="1801">
        <f t="shared" si="220"/>
        <v>84.56</v>
      </c>
      <c r="AR365" s="1809">
        <f t="shared" si="221"/>
        <v>74.2</v>
      </c>
    </row>
    <row r="366" spans="2:46" ht="15.75" thickBot="1">
      <c r="B366" s="246" t="s">
        <v>10</v>
      </c>
      <c r="C366" s="241" t="s">
        <v>792</v>
      </c>
      <c r="D366" s="239">
        <v>30</v>
      </c>
      <c r="E366" s="1073" t="s">
        <v>95</v>
      </c>
      <c r="F366" s="302">
        <v>5.63</v>
      </c>
      <c r="G366" s="481">
        <v>5.63</v>
      </c>
      <c r="H366" s="263" t="s">
        <v>118</v>
      </c>
      <c r="I366" s="97" t="s">
        <v>119</v>
      </c>
      <c r="J366" s="281" t="s">
        <v>120</v>
      </c>
      <c r="K366" s="61"/>
      <c r="M366" s="71"/>
      <c r="O366" s="1944" t="s">
        <v>150</v>
      </c>
      <c r="P366" s="1724"/>
      <c r="Q366" s="1586"/>
      <c r="R366" s="1724"/>
      <c r="S366" s="1569"/>
      <c r="T366" s="1727"/>
      <c r="U366" s="1569"/>
      <c r="V366" s="1724">
        <f t="shared" si="214"/>
        <v>0</v>
      </c>
      <c r="W366" s="1586">
        <f t="shared" si="215"/>
        <v>0</v>
      </c>
      <c r="X366" s="1724">
        <f t="shared" si="216"/>
        <v>0</v>
      </c>
      <c r="Y366" s="1585">
        <f t="shared" si="217"/>
        <v>0</v>
      </c>
      <c r="AA366" s="125" t="s">
        <v>157</v>
      </c>
      <c r="AB366" s="2048"/>
      <c r="AC366" s="1961"/>
      <c r="AD366" s="1969">
        <f>I381</f>
        <v>67.8</v>
      </c>
      <c r="AE366" s="1597">
        <f>J381</f>
        <v>60</v>
      </c>
      <c r="AF366" s="1789"/>
      <c r="AG366" s="1681"/>
      <c r="AH366" s="1789">
        <f t="shared" si="223"/>
        <v>67.8</v>
      </c>
      <c r="AI366" s="1586">
        <f t="shared" si="212"/>
        <v>60</v>
      </c>
      <c r="AJ366" s="1789">
        <f t="shared" si="212"/>
        <v>67.8</v>
      </c>
      <c r="AK366" s="1585">
        <f t="shared" si="213"/>
        <v>60</v>
      </c>
      <c r="AM366" s="1944" t="s">
        <v>150</v>
      </c>
      <c r="AN366" s="1743">
        <f t="shared" si="218"/>
        <v>0</v>
      </c>
      <c r="AO366" s="858">
        <f t="shared" si="219"/>
        <v>0</v>
      </c>
      <c r="AP366" s="2100" t="s">
        <v>157</v>
      </c>
      <c r="AQ366" s="1801">
        <f t="shared" si="220"/>
        <v>67.8</v>
      </c>
      <c r="AR366" s="1809">
        <f t="shared" si="221"/>
        <v>60</v>
      </c>
    </row>
    <row r="367" spans="2:46" ht="15.75" thickBot="1">
      <c r="B367" s="1522" t="s">
        <v>1004</v>
      </c>
      <c r="C367" s="241" t="s">
        <v>1013</v>
      </c>
      <c r="D367" s="239">
        <v>105</v>
      </c>
      <c r="E367" s="237"/>
      <c r="F367" s="232"/>
      <c r="G367" s="232"/>
      <c r="H367" s="1216" t="s">
        <v>160</v>
      </c>
      <c r="I367" s="1217">
        <v>67.8</v>
      </c>
      <c r="J367" s="1218">
        <v>60</v>
      </c>
      <c r="K367" s="57"/>
      <c r="L367" s="29"/>
      <c r="M367" s="74"/>
      <c r="O367" s="1944" t="s">
        <v>75</v>
      </c>
      <c r="P367" s="1724"/>
      <c r="Q367" s="1569"/>
      <c r="R367" s="1724"/>
      <c r="S367" s="1569"/>
      <c r="T367" s="1724"/>
      <c r="U367" s="1569"/>
      <c r="V367" s="1724">
        <f t="shared" si="214"/>
        <v>0</v>
      </c>
      <c r="W367" s="1586">
        <f t="shared" si="215"/>
        <v>0</v>
      </c>
      <c r="X367" s="1724">
        <f t="shared" si="216"/>
        <v>0</v>
      </c>
      <c r="Y367" s="1585">
        <f t="shared" si="217"/>
        <v>0</v>
      </c>
      <c r="AA367" s="125" t="s">
        <v>156</v>
      </c>
      <c r="AB367" s="444"/>
      <c r="AC367" s="1960"/>
      <c r="AD367" s="1789">
        <f>F375</f>
        <v>8.1170000000000009</v>
      </c>
      <c r="AE367" s="1598">
        <f>G375</f>
        <v>6.3</v>
      </c>
      <c r="AF367" s="1789"/>
      <c r="AG367" s="1681"/>
      <c r="AH367" s="1789">
        <f t="shared" si="223"/>
        <v>8.1170000000000009</v>
      </c>
      <c r="AI367" s="1586">
        <f t="shared" si="212"/>
        <v>6.3</v>
      </c>
      <c r="AJ367" s="1789">
        <f t="shared" si="212"/>
        <v>8.1170000000000009</v>
      </c>
      <c r="AK367" s="1585">
        <f t="shared" si="213"/>
        <v>6.3</v>
      </c>
      <c r="AM367" s="1944" t="s">
        <v>75</v>
      </c>
      <c r="AN367" s="1743">
        <f t="shared" si="218"/>
        <v>0</v>
      </c>
      <c r="AO367" s="858">
        <f t="shared" si="219"/>
        <v>0</v>
      </c>
      <c r="AP367" s="2100" t="s">
        <v>156</v>
      </c>
      <c r="AQ367" s="1801">
        <f t="shared" si="220"/>
        <v>8.1170000000000009</v>
      </c>
      <c r="AR367" s="1809">
        <f t="shared" si="221"/>
        <v>6.3</v>
      </c>
    </row>
    <row r="368" spans="2:46" ht="15.75" thickBot="1">
      <c r="B368" s="1141" t="s">
        <v>582</v>
      </c>
      <c r="C368" s="687"/>
      <c r="D368" s="1142">
        <f>D360+D363+D365+D366+D367+165+35</f>
        <v>645</v>
      </c>
      <c r="E368" s="807" t="s">
        <v>367</v>
      </c>
      <c r="F368" s="38"/>
      <c r="G368" s="38"/>
      <c r="H368" s="321" t="s">
        <v>243</v>
      </c>
      <c r="I368" s="38"/>
      <c r="J368" s="38"/>
      <c r="K368" s="106" t="s">
        <v>110</v>
      </c>
      <c r="L368" s="29"/>
      <c r="M368" s="74"/>
      <c r="O368" s="1049" t="s">
        <v>68</v>
      </c>
      <c r="P368" s="1970">
        <f>F364+L361</f>
        <v>230.7</v>
      </c>
      <c r="Q368" s="2021">
        <f>G364+M361</f>
        <v>230.7</v>
      </c>
      <c r="R368" s="1966">
        <f>L381</f>
        <v>22.84</v>
      </c>
      <c r="S368" s="1586">
        <f>M381</f>
        <v>22.84</v>
      </c>
      <c r="T368" s="1970">
        <f>F392+I386+L387</f>
        <v>254.23000000000002</v>
      </c>
      <c r="U368" s="2021">
        <f>G392+J386+M387</f>
        <v>254.23000000000002</v>
      </c>
      <c r="V368" s="1724">
        <f t="shared" si="214"/>
        <v>253.54</v>
      </c>
      <c r="W368" s="1586">
        <f t="shared" si="215"/>
        <v>253.54</v>
      </c>
      <c r="X368" s="1724">
        <f t="shared" si="216"/>
        <v>277.07</v>
      </c>
      <c r="Y368" s="1585">
        <f t="shared" si="217"/>
        <v>277.07</v>
      </c>
      <c r="AA368" s="2004" t="s">
        <v>209</v>
      </c>
      <c r="AB368" s="1779"/>
      <c r="AC368" s="2024"/>
      <c r="AD368" s="1790"/>
      <c r="AE368" s="2005"/>
      <c r="AF368" s="1790"/>
      <c r="AG368" s="2006"/>
      <c r="AH368" s="1790">
        <f t="shared" si="223"/>
        <v>0</v>
      </c>
      <c r="AI368" s="1590">
        <f t="shared" si="212"/>
        <v>0</v>
      </c>
      <c r="AJ368" s="1812">
        <f t="shared" si="212"/>
        <v>0</v>
      </c>
      <c r="AK368" s="1813">
        <f t="shared" si="213"/>
        <v>0</v>
      </c>
      <c r="AM368" s="1944" t="s">
        <v>68</v>
      </c>
      <c r="AN368" s="2091">
        <f>P368+R368+T368</f>
        <v>507.77</v>
      </c>
      <c r="AO368" s="858">
        <f t="shared" si="219"/>
        <v>507.77</v>
      </c>
      <c r="AP368" s="2145" t="s">
        <v>545</v>
      </c>
      <c r="AQ368" s="2146">
        <f t="shared" si="220"/>
        <v>0</v>
      </c>
      <c r="AR368" s="2147">
        <f t="shared" si="221"/>
        <v>0</v>
      </c>
    </row>
    <row r="369" spans="2:48" ht="15.75" thickBot="1">
      <c r="B369" s="403"/>
      <c r="C369" s="162" t="s">
        <v>152</v>
      </c>
      <c r="D369" s="54"/>
      <c r="E369" s="263" t="s">
        <v>118</v>
      </c>
      <c r="F369" s="97" t="s">
        <v>119</v>
      </c>
      <c r="G369" s="135" t="s">
        <v>120</v>
      </c>
      <c r="H369" s="319" t="s">
        <v>118</v>
      </c>
      <c r="I369" s="103" t="s">
        <v>119</v>
      </c>
      <c r="J369" s="318" t="s">
        <v>120</v>
      </c>
      <c r="K369" s="263" t="s">
        <v>118</v>
      </c>
      <c r="L369" s="97" t="s">
        <v>119</v>
      </c>
      <c r="M369" s="135" t="s">
        <v>120</v>
      </c>
      <c r="O369" s="1049" t="s">
        <v>170</v>
      </c>
      <c r="P369" s="1724"/>
      <c r="Q369" s="1569"/>
      <c r="R369" s="1724"/>
      <c r="S369" s="1569"/>
      <c r="T369" s="1724"/>
      <c r="U369" s="1569"/>
      <c r="V369" s="1724">
        <f t="shared" si="214"/>
        <v>0</v>
      </c>
      <c r="W369" s="1586">
        <f t="shared" si="215"/>
        <v>0</v>
      </c>
      <c r="X369" s="1724">
        <f t="shared" si="216"/>
        <v>0</v>
      </c>
      <c r="Y369" s="1585">
        <f t="shared" si="217"/>
        <v>0</v>
      </c>
      <c r="AA369" s="2013" t="s">
        <v>96</v>
      </c>
      <c r="AB369" s="2084">
        <f t="shared" ref="AB369" si="228">SUM(AB354:AB368)</f>
        <v>132.16</v>
      </c>
      <c r="AC369" s="2049">
        <f>SUM(AC354:AC368)</f>
        <v>112.35</v>
      </c>
      <c r="AD369" s="1964">
        <f t="shared" ref="AD369" si="229">SUM(AD354:AD368)</f>
        <v>231.21700000000001</v>
      </c>
      <c r="AE369" s="2012">
        <f>SUM(AE354:AE368)</f>
        <v>185.28000000000003</v>
      </c>
      <c r="AF369" s="1964">
        <f t="shared" ref="AF369" si="230">SUM(AF354:AF368)</f>
        <v>54.150000000000006</v>
      </c>
      <c r="AG369" s="2012">
        <f>SUM(AG354:AG368)</f>
        <v>42.34</v>
      </c>
      <c r="AH369" s="1964">
        <f>AB369+AD369</f>
        <v>363.37700000000001</v>
      </c>
      <c r="AI369" s="2015">
        <f>AC369+AE369</f>
        <v>297.63</v>
      </c>
      <c r="AJ369" s="1964">
        <f>AD369+AF369</f>
        <v>285.36700000000002</v>
      </c>
      <c r="AK369" s="1717">
        <f>SUM(AK354:AK368)</f>
        <v>227.62</v>
      </c>
      <c r="AM369" s="1944" t="s">
        <v>170</v>
      </c>
      <c r="AN369" s="1743">
        <f t="shared" ref="AN369:AN383" si="231">P369+R369+T369</f>
        <v>0</v>
      </c>
      <c r="AO369" s="857">
        <f t="shared" si="219"/>
        <v>0</v>
      </c>
      <c r="AP369" s="2013" t="s">
        <v>96</v>
      </c>
      <c r="AQ369" s="2142">
        <f t="shared" si="220"/>
        <v>417.52700000000004</v>
      </c>
      <c r="AR369" s="1991">
        <f t="shared" si="221"/>
        <v>339.97</v>
      </c>
      <c r="AV369" s="136"/>
    </row>
    <row r="370" spans="2:48" ht="15.75" thickBot="1">
      <c r="B370" s="1184" t="s">
        <v>625</v>
      </c>
      <c r="C370" s="283" t="s">
        <v>406</v>
      </c>
      <c r="D370" s="166">
        <v>60</v>
      </c>
      <c r="E370" s="100" t="s">
        <v>52</v>
      </c>
      <c r="F370" s="177">
        <v>100</v>
      </c>
      <c r="G370" s="426">
        <v>75</v>
      </c>
      <c r="H370" s="100" t="s">
        <v>52</v>
      </c>
      <c r="I370" s="123">
        <v>77.400000000000006</v>
      </c>
      <c r="J370" s="735">
        <v>57.6</v>
      </c>
      <c r="K370" s="167" t="s">
        <v>108</v>
      </c>
      <c r="L370" s="1223">
        <v>8.1</v>
      </c>
      <c r="M370" s="1224">
        <v>8.1</v>
      </c>
      <c r="O370" s="1049" t="s">
        <v>73</v>
      </c>
      <c r="P370" s="1724"/>
      <c r="Q370" s="1587"/>
      <c r="R370" s="1724"/>
      <c r="S370" s="1587"/>
      <c r="T370" s="1727"/>
      <c r="U370" s="1587"/>
      <c r="V370" s="1724">
        <f t="shared" si="214"/>
        <v>0</v>
      </c>
      <c r="W370" s="1586">
        <f t="shared" si="215"/>
        <v>0</v>
      </c>
      <c r="X370" s="1724">
        <f t="shared" si="216"/>
        <v>0</v>
      </c>
      <c r="Y370" s="1585">
        <f t="shared" si="217"/>
        <v>0</v>
      </c>
      <c r="AA370" s="2008" t="s">
        <v>166</v>
      </c>
      <c r="AB370" s="2105">
        <f>F361+I360+I367</f>
        <v>132.16</v>
      </c>
      <c r="AC370" s="2156">
        <f>G361+J360+J367</f>
        <v>112.35</v>
      </c>
      <c r="AD370" s="2164">
        <f>F372+F373+F375+I371+I372+I373+I374+I381</f>
        <v>231.21699999999998</v>
      </c>
      <c r="AE370" s="2055">
        <f>G372+G373+G375+J371+J372+J373+J374+J381</f>
        <v>185.28</v>
      </c>
      <c r="AF370" s="2109">
        <f>F389+F390</f>
        <v>54.150000000000006</v>
      </c>
      <c r="AG370" s="2009">
        <f>G389+G390</f>
        <v>42.34</v>
      </c>
      <c r="AH370" s="1825">
        <f t="shared" ref="AH370" si="232">AB370+AD370</f>
        <v>363.37699999999995</v>
      </c>
      <c r="AI370" s="2010"/>
      <c r="AJ370" s="1825">
        <f t="shared" ref="AJ370" si="233">AD370+AF370</f>
        <v>285.36699999999996</v>
      </c>
      <c r="AK370" s="2011"/>
      <c r="AM370" s="1944" t="s">
        <v>73</v>
      </c>
      <c r="AN370" s="1743">
        <f t="shared" si="231"/>
        <v>0</v>
      </c>
      <c r="AO370" s="857">
        <f t="shared" si="219"/>
        <v>0</v>
      </c>
      <c r="AP370" s="2104" t="s">
        <v>166</v>
      </c>
      <c r="AQ370" s="1800">
        <f t="shared" si="220"/>
        <v>417.52699999999993</v>
      </c>
      <c r="AR370" s="1715"/>
      <c r="AV370" s="124"/>
    </row>
    <row r="371" spans="2:48">
      <c r="B371" s="1522" t="s">
        <v>831</v>
      </c>
      <c r="C371" s="283" t="s">
        <v>367</v>
      </c>
      <c r="D371" s="410">
        <v>250</v>
      </c>
      <c r="E371" s="185" t="s">
        <v>381</v>
      </c>
      <c r="F371" s="256">
        <v>5.05</v>
      </c>
      <c r="G371" s="267">
        <v>5.05</v>
      </c>
      <c r="H371" s="185" t="s">
        <v>109</v>
      </c>
      <c r="I371" s="233">
        <v>36</v>
      </c>
      <c r="J371" s="411">
        <v>28.8</v>
      </c>
      <c r="K371" s="241" t="s">
        <v>111</v>
      </c>
      <c r="L371" s="394">
        <v>4.05</v>
      </c>
      <c r="M371" s="395">
        <v>4.05</v>
      </c>
      <c r="O371" s="1049" t="s">
        <v>54</v>
      </c>
      <c r="P371" s="1966">
        <f>F362</f>
        <v>10.42</v>
      </c>
      <c r="Q371" s="1587">
        <f>G362</f>
        <v>10</v>
      </c>
      <c r="R371" s="1966"/>
      <c r="S371" s="1587"/>
      <c r="T371" s="1724"/>
      <c r="U371" s="1587"/>
      <c r="V371" s="1724">
        <f t="shared" si="214"/>
        <v>10.42</v>
      </c>
      <c r="W371" s="1586">
        <f t="shared" si="215"/>
        <v>10</v>
      </c>
      <c r="X371" s="1724">
        <f t="shared" si="216"/>
        <v>0</v>
      </c>
      <c r="Y371" s="1585">
        <f t="shared" si="217"/>
        <v>0</v>
      </c>
      <c r="AA371" s="2094" t="s">
        <v>878</v>
      </c>
      <c r="AB371" s="2095"/>
      <c r="AC371" s="2096"/>
      <c r="AD371" s="1778"/>
      <c r="AE371" s="1815"/>
      <c r="AF371" s="1778"/>
      <c r="AG371" s="2097"/>
      <c r="AH371" s="1788"/>
      <c r="AI371" s="2098"/>
      <c r="AJ371" s="1788"/>
      <c r="AK371" s="1603"/>
      <c r="AL371" s="1570"/>
      <c r="AM371" s="1944" t="s">
        <v>54</v>
      </c>
      <c r="AN371" s="1743">
        <f t="shared" si="231"/>
        <v>10.42</v>
      </c>
      <c r="AO371" s="857">
        <f t="shared" si="219"/>
        <v>10</v>
      </c>
      <c r="AP371" s="2118" t="s">
        <v>878</v>
      </c>
      <c r="AQ371" s="1839">
        <f>AB371+AD371+AF371</f>
        <v>0</v>
      </c>
      <c r="AR371" s="752">
        <f>AC371+AE371+AG371</f>
        <v>0</v>
      </c>
    </row>
    <row r="372" spans="2:48">
      <c r="B372" s="246" t="s">
        <v>201</v>
      </c>
      <c r="C372" s="241" t="s">
        <v>245</v>
      </c>
      <c r="D372" s="239">
        <v>180</v>
      </c>
      <c r="E372" s="185" t="s">
        <v>79</v>
      </c>
      <c r="F372" s="256">
        <v>12.5</v>
      </c>
      <c r="G372" s="267">
        <v>10</v>
      </c>
      <c r="H372" s="185" t="s">
        <v>221</v>
      </c>
      <c r="I372" s="233">
        <v>18</v>
      </c>
      <c r="J372" s="411">
        <v>14.4</v>
      </c>
      <c r="K372" s="241" t="s">
        <v>94</v>
      </c>
      <c r="L372" s="394">
        <v>51.3</v>
      </c>
      <c r="M372" s="395">
        <v>51.3</v>
      </c>
      <c r="O372" s="1049" t="s">
        <v>78</v>
      </c>
      <c r="P372" s="1966"/>
      <c r="Q372" s="1630"/>
      <c r="R372" s="1966">
        <f>L370</f>
        <v>8.1</v>
      </c>
      <c r="S372" s="1629">
        <f>M370</f>
        <v>8.1</v>
      </c>
      <c r="T372" s="1724"/>
      <c r="U372" s="1587"/>
      <c r="V372" s="1724">
        <f t="shared" si="214"/>
        <v>8.1</v>
      </c>
      <c r="W372" s="1586">
        <f t="shared" si="215"/>
        <v>8.1</v>
      </c>
      <c r="X372" s="1724">
        <f t="shared" si="216"/>
        <v>8.1</v>
      </c>
      <c r="Y372" s="1585">
        <f t="shared" si="217"/>
        <v>8.1</v>
      </c>
      <c r="AA372" s="1873" t="s">
        <v>879</v>
      </c>
      <c r="AB372" s="1777"/>
      <c r="AC372" s="1878"/>
      <c r="AD372" s="1680"/>
      <c r="AE372" s="1882"/>
      <c r="AF372" s="1789"/>
      <c r="AG372" s="1886"/>
      <c r="AH372" s="1789">
        <f t="shared" ref="AH372:AH376" si="234">AB372+AD372</f>
        <v>0</v>
      </c>
      <c r="AI372" s="1890">
        <f>AC372+AE372</f>
        <v>0</v>
      </c>
      <c r="AJ372" s="1789">
        <f t="shared" ref="AJ372:AJ395" si="235">AD372+AF372</f>
        <v>0</v>
      </c>
      <c r="AK372" s="1893">
        <f>AE372+AG372</f>
        <v>0</v>
      </c>
      <c r="AL372" s="1570"/>
      <c r="AM372" s="1944" t="s">
        <v>78</v>
      </c>
      <c r="AN372" s="1743">
        <f t="shared" si="231"/>
        <v>8.1</v>
      </c>
      <c r="AO372" s="1047">
        <f t="shared" si="219"/>
        <v>8.1</v>
      </c>
      <c r="AP372" s="1660" t="s">
        <v>879</v>
      </c>
      <c r="AQ372" s="1840">
        <f>AB372+AD372+AF372</f>
        <v>0</v>
      </c>
      <c r="AR372" s="1667">
        <f>AC372+AE372+AG372</f>
        <v>0</v>
      </c>
    </row>
    <row r="373" spans="2:48">
      <c r="B373" s="376" t="s">
        <v>206</v>
      </c>
      <c r="C373" s="1100" t="s">
        <v>470</v>
      </c>
      <c r="D373" s="661">
        <v>100</v>
      </c>
      <c r="E373" s="185" t="s">
        <v>221</v>
      </c>
      <c r="F373" s="256">
        <v>6</v>
      </c>
      <c r="G373" s="267">
        <v>5</v>
      </c>
      <c r="H373" s="185" t="s">
        <v>648</v>
      </c>
      <c r="I373" s="394">
        <v>37.799999999999997</v>
      </c>
      <c r="J373" s="1221">
        <v>24.78</v>
      </c>
      <c r="K373" s="241" t="s">
        <v>98</v>
      </c>
      <c r="L373" s="396">
        <v>8.9999999999999998E-4</v>
      </c>
      <c r="M373" s="247">
        <v>8.9999999999999998E-4</v>
      </c>
      <c r="O373" s="1049" t="s">
        <v>95</v>
      </c>
      <c r="P373" s="1966">
        <f>F366+I361</f>
        <v>6.73</v>
      </c>
      <c r="Q373" s="1586">
        <f>G366+J361</f>
        <v>6.73</v>
      </c>
      <c r="R373" s="1724">
        <f>F374+I376</f>
        <v>6.76</v>
      </c>
      <c r="S373" s="1586">
        <f>G374+J376</f>
        <v>6.76</v>
      </c>
      <c r="T373" s="1724">
        <f>F388+F393+I387</f>
        <v>4.8599999999999994</v>
      </c>
      <c r="U373" s="1586">
        <f>G388+G393+J387</f>
        <v>4.8599999999999994</v>
      </c>
      <c r="V373" s="1724">
        <f t="shared" si="214"/>
        <v>13.49</v>
      </c>
      <c r="W373" s="1586">
        <f t="shared" si="215"/>
        <v>13.49</v>
      </c>
      <c r="X373" s="1724">
        <f t="shared" si="216"/>
        <v>11.62</v>
      </c>
      <c r="Y373" s="1585">
        <f t="shared" si="217"/>
        <v>11.62</v>
      </c>
      <c r="AA373" s="1874" t="s">
        <v>880</v>
      </c>
      <c r="AB373" s="2154">
        <f>I364</f>
        <v>131.14500000000001</v>
      </c>
      <c r="AC373" s="2155">
        <f>J364</f>
        <v>105</v>
      </c>
      <c r="AD373" s="444"/>
      <c r="AE373" s="1883"/>
      <c r="AF373" s="1793"/>
      <c r="AG373" s="1887"/>
      <c r="AH373" s="1789">
        <f t="shared" si="234"/>
        <v>131.14500000000001</v>
      </c>
      <c r="AI373" s="1890">
        <f>AC373+AE373</f>
        <v>105</v>
      </c>
      <c r="AJ373" s="1789">
        <f t="shared" si="235"/>
        <v>0</v>
      </c>
      <c r="AK373" s="1893">
        <f>AE373+AG373</f>
        <v>0</v>
      </c>
      <c r="AL373" s="1570"/>
      <c r="AM373" s="1944" t="s">
        <v>95</v>
      </c>
      <c r="AN373" s="1743">
        <f t="shared" si="231"/>
        <v>18.350000000000001</v>
      </c>
      <c r="AO373" s="1047">
        <f t="shared" si="219"/>
        <v>18.350000000000001</v>
      </c>
      <c r="AP373" s="1661" t="s">
        <v>880</v>
      </c>
      <c r="AQ373" s="1840">
        <f t="shared" ref="AQ373:AQ391" si="236">AB373+AD373+AF373</f>
        <v>131.14500000000001</v>
      </c>
      <c r="AR373" s="1667">
        <f t="shared" ref="AR373:AR391" si="237">AC373+AE373+AG373</f>
        <v>105</v>
      </c>
    </row>
    <row r="374" spans="2:48">
      <c r="B374" s="246" t="s">
        <v>9</v>
      </c>
      <c r="C374" s="241" t="s">
        <v>595</v>
      </c>
      <c r="D374" s="166">
        <v>200</v>
      </c>
      <c r="E374" s="185" t="s">
        <v>95</v>
      </c>
      <c r="F374" s="256">
        <v>5</v>
      </c>
      <c r="G374" s="267">
        <v>5</v>
      </c>
      <c r="H374" s="185" t="s">
        <v>202</v>
      </c>
      <c r="I374" s="394">
        <v>45</v>
      </c>
      <c r="J374" s="1221">
        <v>36</v>
      </c>
      <c r="K374" s="1219" t="s">
        <v>61</v>
      </c>
      <c r="L374" s="233">
        <v>0.54</v>
      </c>
      <c r="M374" s="247">
        <v>0.54</v>
      </c>
      <c r="O374" s="1049" t="s">
        <v>103</v>
      </c>
      <c r="P374" s="1724"/>
      <c r="Q374" s="1569"/>
      <c r="R374" s="1724">
        <f>I375+L383</f>
        <v>9.4400000000000013</v>
      </c>
      <c r="S374" s="1569">
        <f>M383+J375</f>
        <v>9.4400000000000013</v>
      </c>
      <c r="T374" s="1966">
        <f>F394</f>
        <v>1.3</v>
      </c>
      <c r="U374" s="1586">
        <f>G394</f>
        <v>1.3</v>
      </c>
      <c r="V374" s="1724">
        <f t="shared" si="214"/>
        <v>9.4400000000000013</v>
      </c>
      <c r="W374" s="1586">
        <f t="shared" si="215"/>
        <v>9.4400000000000013</v>
      </c>
      <c r="X374" s="1724">
        <f t="shared" si="216"/>
        <v>10.740000000000002</v>
      </c>
      <c r="Y374" s="1585">
        <f t="shared" si="217"/>
        <v>10.740000000000002</v>
      </c>
      <c r="AA374" s="1875" t="s">
        <v>881</v>
      </c>
      <c r="AB374" s="1782"/>
      <c r="AC374" s="1879"/>
      <c r="AD374" s="444"/>
      <c r="AE374" s="1883"/>
      <c r="AF374" s="1789"/>
      <c r="AG374" s="1887"/>
      <c r="AH374" s="1789">
        <f t="shared" si="234"/>
        <v>0</v>
      </c>
      <c r="AI374" s="1890">
        <f>AC374+AE374</f>
        <v>0</v>
      </c>
      <c r="AJ374" s="1789">
        <f t="shared" si="235"/>
        <v>0</v>
      </c>
      <c r="AK374" s="1893">
        <f>AE374+AG374</f>
        <v>0</v>
      </c>
      <c r="AL374" s="1570"/>
      <c r="AM374" s="1944" t="s">
        <v>103</v>
      </c>
      <c r="AN374" s="1743">
        <f t="shared" si="231"/>
        <v>10.740000000000002</v>
      </c>
      <c r="AO374" s="1047">
        <f t="shared" si="219"/>
        <v>10.740000000000002</v>
      </c>
      <c r="AP374" s="1662" t="s">
        <v>881</v>
      </c>
      <c r="AQ374" s="1840">
        <f t="shared" si="236"/>
        <v>0</v>
      </c>
      <c r="AR374" s="1667">
        <f t="shared" si="237"/>
        <v>0</v>
      </c>
    </row>
    <row r="375" spans="2:48" ht="15.75" thickBot="1">
      <c r="B375" s="246" t="s">
        <v>10</v>
      </c>
      <c r="C375" s="241" t="s">
        <v>11</v>
      </c>
      <c r="D375" s="239">
        <v>60</v>
      </c>
      <c r="E375" s="185" t="s">
        <v>368</v>
      </c>
      <c r="F375" s="233">
        <v>8.1170000000000009</v>
      </c>
      <c r="G375" s="193">
        <v>6.3</v>
      </c>
      <c r="H375" s="409" t="s">
        <v>103</v>
      </c>
      <c r="I375" s="396">
        <v>5.44</v>
      </c>
      <c r="J375" s="739">
        <v>5.44</v>
      </c>
      <c r="O375" s="1049" t="s">
        <v>162</v>
      </c>
      <c r="P375" s="1724">
        <f>Q375/1000/0.04</f>
        <v>2.4350000000000001</v>
      </c>
      <c r="Q375" s="1586">
        <f>G363</f>
        <v>97.4</v>
      </c>
      <c r="R375" s="1724"/>
      <c r="S375" s="1586"/>
      <c r="T375" s="1912">
        <f>U375/1000/0.04</f>
        <v>0.57250000000000001</v>
      </c>
      <c r="U375" s="1586">
        <f>G391</f>
        <v>22.9</v>
      </c>
      <c r="V375" s="1724">
        <f t="shared" si="214"/>
        <v>2.4350000000000001</v>
      </c>
      <c r="W375" s="1586">
        <f t="shared" si="215"/>
        <v>97.4</v>
      </c>
      <c r="X375" s="1724">
        <f t="shared" si="216"/>
        <v>0.57250000000000001</v>
      </c>
      <c r="Y375" s="1585">
        <f t="shared" si="217"/>
        <v>22.9</v>
      </c>
      <c r="AA375" s="1876" t="s">
        <v>882</v>
      </c>
      <c r="AB375" s="1783"/>
      <c r="AC375" s="1880"/>
      <c r="AD375" s="1779"/>
      <c r="AE375" s="1884"/>
      <c r="AF375" s="1790">
        <f>L393</f>
        <v>0</v>
      </c>
      <c r="AG375" s="1888">
        <f>M393</f>
        <v>0</v>
      </c>
      <c r="AH375" s="1790">
        <f t="shared" si="234"/>
        <v>0</v>
      </c>
      <c r="AI375" s="1891"/>
      <c r="AJ375" s="1812">
        <f t="shared" si="235"/>
        <v>0</v>
      </c>
      <c r="AK375" s="2046"/>
      <c r="AL375" s="1570"/>
      <c r="AM375" s="1944" t="s">
        <v>162</v>
      </c>
      <c r="AN375" s="1743">
        <f t="shared" si="231"/>
        <v>3.0075000000000003</v>
      </c>
      <c r="AO375" s="1047">
        <f t="shared" si="219"/>
        <v>120.30000000000001</v>
      </c>
      <c r="AP375" s="1707" t="s">
        <v>882</v>
      </c>
      <c r="AQ375" s="1840">
        <f t="shared" si="236"/>
        <v>0</v>
      </c>
      <c r="AR375" s="1667">
        <f t="shared" si="237"/>
        <v>0</v>
      </c>
      <c r="AT375" s="48"/>
    </row>
    <row r="376" spans="2:48" ht="15.75" thickBot="1">
      <c r="B376" s="246" t="s">
        <v>10</v>
      </c>
      <c r="C376" s="241" t="s">
        <v>792</v>
      </c>
      <c r="D376" s="239">
        <v>40</v>
      </c>
      <c r="E376" s="270" t="s">
        <v>97</v>
      </c>
      <c r="F376" s="272">
        <v>0.9</v>
      </c>
      <c r="G376" s="736">
        <v>0.9</v>
      </c>
      <c r="H376" s="185" t="s">
        <v>95</v>
      </c>
      <c r="I376" s="256">
        <v>1.76</v>
      </c>
      <c r="J376" s="267">
        <v>1.76</v>
      </c>
      <c r="K376" s="1540" t="s">
        <v>242</v>
      </c>
      <c r="L376" s="38"/>
      <c r="M376" s="50"/>
      <c r="O376" s="1049" t="s">
        <v>57</v>
      </c>
      <c r="P376" s="2059">
        <f>L363</f>
        <v>5</v>
      </c>
      <c r="Q376" s="1600">
        <f>M363</f>
        <v>5</v>
      </c>
      <c r="R376" s="1724"/>
      <c r="S376" s="1600"/>
      <c r="T376" s="1724">
        <f>L389</f>
        <v>3</v>
      </c>
      <c r="U376" s="1600">
        <f>M389</f>
        <v>3</v>
      </c>
      <c r="V376" s="1724">
        <f t="shared" si="214"/>
        <v>5</v>
      </c>
      <c r="W376" s="1586">
        <f t="shared" si="215"/>
        <v>5</v>
      </c>
      <c r="X376" s="1724">
        <f t="shared" si="216"/>
        <v>3</v>
      </c>
      <c r="Y376" s="1585">
        <f t="shared" si="217"/>
        <v>3</v>
      </c>
      <c r="AA376" s="1877" t="s">
        <v>883</v>
      </c>
      <c r="AB376" s="1896">
        <f>SUM(AB372:AB375)</f>
        <v>131.14500000000001</v>
      </c>
      <c r="AC376" s="1881">
        <f>AC372+AC373+AC374+AC375</f>
        <v>105</v>
      </c>
      <c r="AD376" s="1968">
        <f>AD372+AD373+AD374+AD375</f>
        <v>0</v>
      </c>
      <c r="AE376" s="1885">
        <f>AE372+AE373+AE374+AE375</f>
        <v>0</v>
      </c>
      <c r="AF376" s="1898">
        <f>SUM(AF372:AF375)</f>
        <v>0</v>
      </c>
      <c r="AG376" s="1889">
        <f>SUM(AG372:AG375)</f>
        <v>0</v>
      </c>
      <c r="AH376" s="1898">
        <f t="shared" si="234"/>
        <v>131.14500000000001</v>
      </c>
      <c r="AI376" s="1892">
        <f>AC376+AE376</f>
        <v>105</v>
      </c>
      <c r="AJ376" s="1898">
        <f t="shared" si="235"/>
        <v>0</v>
      </c>
      <c r="AK376" s="1895">
        <f>AE376+AG376</f>
        <v>0</v>
      </c>
      <c r="AL376" s="1570"/>
      <c r="AM376" s="1944" t="s">
        <v>57</v>
      </c>
      <c r="AN376" s="1743">
        <f t="shared" si="231"/>
        <v>8</v>
      </c>
      <c r="AO376" s="1047">
        <f t="shared" si="219"/>
        <v>8</v>
      </c>
      <c r="AP376" s="1719" t="s">
        <v>883</v>
      </c>
      <c r="AQ376" s="2119">
        <f>AB376+AD376+AF376</f>
        <v>131.14500000000001</v>
      </c>
      <c r="AR376" s="2120">
        <f>AC376+AE376+AG376</f>
        <v>105</v>
      </c>
    </row>
    <row r="377" spans="2:48" ht="15.75" thickBot="1">
      <c r="B377" s="61"/>
      <c r="C377" s="999"/>
      <c r="D377" s="71"/>
      <c r="E377" s="270" t="s">
        <v>222</v>
      </c>
      <c r="F377" s="234">
        <v>0.01</v>
      </c>
      <c r="G377" s="308">
        <v>0.01</v>
      </c>
      <c r="H377" s="270" t="s">
        <v>222</v>
      </c>
      <c r="I377" s="233">
        <v>7.2500000000000004E-3</v>
      </c>
      <c r="J377" s="1222">
        <v>7.2500000000000004E-3</v>
      </c>
      <c r="K377" s="313" t="s">
        <v>118</v>
      </c>
      <c r="L377" s="97" t="s">
        <v>119</v>
      </c>
      <c r="M377" s="135" t="s">
        <v>120</v>
      </c>
      <c r="O377" s="1049" t="s">
        <v>171</v>
      </c>
      <c r="P377" s="1724"/>
      <c r="Q377" s="1569"/>
      <c r="R377" s="1724"/>
      <c r="S377" s="1569"/>
      <c r="T377" s="1724"/>
      <c r="U377" s="1569"/>
      <c r="V377" s="1724">
        <f t="shared" si="214"/>
        <v>0</v>
      </c>
      <c r="W377" s="1586">
        <f t="shared" si="215"/>
        <v>0</v>
      </c>
      <c r="X377" s="1724">
        <f t="shared" si="216"/>
        <v>0</v>
      </c>
      <c r="Y377" s="1585">
        <f t="shared" si="217"/>
        <v>0</v>
      </c>
      <c r="AA377" s="1702" t="s">
        <v>896</v>
      </c>
      <c r="AB377" s="1784"/>
      <c r="AC377" s="2140">
        <f>J356</f>
        <v>0</v>
      </c>
      <c r="AD377" s="1788">
        <f>L378</f>
        <v>36.43</v>
      </c>
      <c r="AE377" s="1704">
        <f>M378</f>
        <v>28.4</v>
      </c>
      <c r="AF377" s="1784"/>
      <c r="AG377" s="1703"/>
      <c r="AH377" s="1788"/>
      <c r="AI377" s="1769">
        <f>AC377+AE377</f>
        <v>28.4</v>
      </c>
      <c r="AJ377" s="1788">
        <f t="shared" si="235"/>
        <v>36.43</v>
      </c>
      <c r="AK377" s="1806">
        <f>AE377+AG377</f>
        <v>28.4</v>
      </c>
      <c r="AL377" s="1570"/>
      <c r="AM377" s="1944" t="s">
        <v>171</v>
      </c>
      <c r="AN377" s="1743">
        <f t="shared" si="231"/>
        <v>0</v>
      </c>
      <c r="AO377" s="1047">
        <f t="shared" si="219"/>
        <v>0</v>
      </c>
      <c r="AP377" s="2121" t="s">
        <v>389</v>
      </c>
      <c r="AQ377" s="2122">
        <f t="shared" si="236"/>
        <v>36.43</v>
      </c>
      <c r="AR377" s="2123">
        <f t="shared" si="237"/>
        <v>28.4</v>
      </c>
    </row>
    <row r="378" spans="2:48" ht="15.75" thickBot="1">
      <c r="B378" s="61"/>
      <c r="C378" s="999"/>
      <c r="D378" s="71"/>
      <c r="E378" s="1073" t="s">
        <v>975</v>
      </c>
      <c r="F378" s="251">
        <v>187.5</v>
      </c>
      <c r="G378" s="268">
        <v>187.5</v>
      </c>
      <c r="H378" s="414"/>
      <c r="I378" s="521"/>
      <c r="J378" s="253"/>
      <c r="K378" s="259" t="s">
        <v>99</v>
      </c>
      <c r="L378" s="123">
        <v>36.43</v>
      </c>
      <c r="M378" s="309">
        <v>28.4</v>
      </c>
      <c r="O378" s="1049" t="s">
        <v>59</v>
      </c>
      <c r="P378" s="1724"/>
      <c r="Q378" s="1569"/>
      <c r="R378" s="1724"/>
      <c r="S378" s="1569"/>
      <c r="T378" s="1724"/>
      <c r="U378" s="1569"/>
      <c r="V378" s="1724">
        <f t="shared" si="214"/>
        <v>0</v>
      </c>
      <c r="W378" s="1586">
        <f t="shared" si="215"/>
        <v>0</v>
      </c>
      <c r="X378" s="1724">
        <f t="shared" si="216"/>
        <v>0</v>
      </c>
      <c r="Y378" s="1585">
        <f t="shared" si="217"/>
        <v>0</v>
      </c>
      <c r="AA378" s="1692" t="s">
        <v>897</v>
      </c>
      <c r="AB378" s="1783"/>
      <c r="AC378" s="1693"/>
      <c r="AD378" s="1790"/>
      <c r="AE378" s="2061"/>
      <c r="AF378" s="1783"/>
      <c r="AG378" s="1693"/>
      <c r="AH378" s="1790">
        <f t="shared" ref="AH378:AH395" si="238">AB378+AD378</f>
        <v>0</v>
      </c>
      <c r="AI378" s="1770">
        <f>AC378+AE378</f>
        <v>0</v>
      </c>
      <c r="AJ378" s="1790">
        <f t="shared" si="235"/>
        <v>0</v>
      </c>
      <c r="AK378" s="1807">
        <f>AE378+AG378</f>
        <v>0</v>
      </c>
      <c r="AL378" s="1570"/>
      <c r="AM378" s="1944" t="s">
        <v>59</v>
      </c>
      <c r="AN378" s="1743">
        <f t="shared" si="231"/>
        <v>0</v>
      </c>
      <c r="AO378" s="1047">
        <f t="shared" si="219"/>
        <v>0</v>
      </c>
      <c r="AP378" s="1692" t="s">
        <v>188</v>
      </c>
      <c r="AQ378" s="1840">
        <f t="shared" si="236"/>
        <v>0</v>
      </c>
      <c r="AR378" s="1667">
        <f t="shared" si="237"/>
        <v>0</v>
      </c>
    </row>
    <row r="379" spans="2:48" ht="15.75" thickBot="1">
      <c r="B379" s="61"/>
      <c r="C379" s="999"/>
      <c r="D379" s="71"/>
      <c r="E379" s="474" t="s">
        <v>311</v>
      </c>
      <c r="F379" s="251">
        <v>2.9449999999999998</v>
      </c>
      <c r="G379" s="323">
        <v>2.5</v>
      </c>
      <c r="H379" s="473" t="s">
        <v>406</v>
      </c>
      <c r="I379" s="278"/>
      <c r="J379" s="50"/>
      <c r="K379" s="240" t="s">
        <v>244</v>
      </c>
      <c r="L379" s="233">
        <v>47.82</v>
      </c>
      <c r="M379" s="235">
        <v>42.16</v>
      </c>
      <c r="O379" s="1049" t="s">
        <v>169</v>
      </c>
      <c r="P379" s="1724"/>
      <c r="Q379" s="1569"/>
      <c r="R379" s="1724"/>
      <c r="S379" s="1569"/>
      <c r="T379" s="1724"/>
      <c r="U379" s="1569"/>
      <c r="V379" s="1724">
        <f t="shared" si="214"/>
        <v>0</v>
      </c>
      <c r="W379" s="1586">
        <f t="shared" si="215"/>
        <v>0</v>
      </c>
      <c r="X379" s="1724">
        <f t="shared" si="216"/>
        <v>0</v>
      </c>
      <c r="Y379" s="1585">
        <f t="shared" si="217"/>
        <v>0</v>
      </c>
      <c r="AA379" s="1721" t="s">
        <v>876</v>
      </c>
      <c r="AB379" s="1867">
        <f t="shared" ref="AB379" si="239">SUM(AB377:AB378)</f>
        <v>0</v>
      </c>
      <c r="AC379" s="2056">
        <f t="shared" ref="AC379" si="240">SUM(AC377:AC378)</f>
        <v>0</v>
      </c>
      <c r="AD379" s="1865">
        <f t="shared" ref="AD379" si="241">SUM(AD377:AD378)</f>
        <v>36.43</v>
      </c>
      <c r="AE379" s="1698">
        <f t="shared" ref="AE379" si="242">SUM(AE377:AE378)</f>
        <v>28.4</v>
      </c>
      <c r="AF379" s="1867">
        <f t="shared" ref="AF379" si="243">SUM(AF377:AF378)</f>
        <v>0</v>
      </c>
      <c r="AG379" s="1866">
        <f t="shared" ref="AG379" si="244">SUM(AG377:AG378)</f>
        <v>0</v>
      </c>
      <c r="AH379" s="1796">
        <f t="shared" si="238"/>
        <v>36.43</v>
      </c>
      <c r="AI379" s="1771">
        <f>AC379+AE379</f>
        <v>28.4</v>
      </c>
      <c r="AJ379" s="1796">
        <f t="shared" si="235"/>
        <v>36.43</v>
      </c>
      <c r="AK379" s="1699">
        <f>AE379+AG379</f>
        <v>28.4</v>
      </c>
      <c r="AL379" s="1570"/>
      <c r="AM379" s="1944" t="s">
        <v>169</v>
      </c>
      <c r="AN379" s="1743">
        <f t="shared" si="231"/>
        <v>0</v>
      </c>
      <c r="AO379" s="1047">
        <f t="shared" si="219"/>
        <v>0</v>
      </c>
      <c r="AP379" s="1721" t="s">
        <v>876</v>
      </c>
      <c r="AQ379" s="2124">
        <f>AB379+AD379+AF379</f>
        <v>36.43</v>
      </c>
      <c r="AR379" s="2125">
        <f>AC379+AE379+AG379</f>
        <v>28.4</v>
      </c>
    </row>
    <row r="380" spans="2:48" ht="15.75" thickBot="1">
      <c r="B380" s="61"/>
      <c r="C380" s="999"/>
      <c r="D380" s="71"/>
      <c r="E380" s="513"/>
      <c r="F380" s="184"/>
      <c r="G380" s="165"/>
      <c r="H380" s="339" t="s">
        <v>118</v>
      </c>
      <c r="I380" s="102" t="s">
        <v>119</v>
      </c>
      <c r="J380" s="133" t="s">
        <v>120</v>
      </c>
      <c r="K380" s="185" t="s">
        <v>91</v>
      </c>
      <c r="L380" s="233">
        <v>23.5</v>
      </c>
      <c r="M380" s="235">
        <v>23.5</v>
      </c>
      <c r="O380" s="1049" t="s">
        <v>168</v>
      </c>
      <c r="P380" s="1724">
        <f>L362</f>
        <v>6</v>
      </c>
      <c r="Q380" s="1569">
        <f>M362</f>
        <v>6</v>
      </c>
      <c r="R380" s="1724"/>
      <c r="S380" s="1569"/>
      <c r="T380" s="1724">
        <f>L388</f>
        <v>2.4</v>
      </c>
      <c r="U380" s="1569">
        <f>M388</f>
        <v>2.4</v>
      </c>
      <c r="V380" s="1724">
        <f t="shared" si="214"/>
        <v>6</v>
      </c>
      <c r="W380" s="1586">
        <f t="shared" si="215"/>
        <v>6</v>
      </c>
      <c r="X380" s="1724">
        <f t="shared" si="216"/>
        <v>2.4</v>
      </c>
      <c r="Y380" s="1585">
        <f t="shared" si="217"/>
        <v>2.4</v>
      </c>
      <c r="AA380" s="1843" t="s">
        <v>387</v>
      </c>
      <c r="AB380" s="1900"/>
      <c r="AC380" s="1901"/>
      <c r="AD380" s="1899"/>
      <c r="AE380" s="1846"/>
      <c r="AF380" s="1900"/>
      <c r="AG380" s="1901"/>
      <c r="AH380" s="1788">
        <f t="shared" si="238"/>
        <v>0</v>
      </c>
      <c r="AI380" s="1852"/>
      <c r="AJ380" s="1788">
        <f t="shared" si="235"/>
        <v>0</v>
      </c>
      <c r="AK380" s="1856"/>
      <c r="AL380" s="1570"/>
      <c r="AM380" s="1944" t="s">
        <v>168</v>
      </c>
      <c r="AN380" s="1743">
        <f t="shared" si="231"/>
        <v>8.4</v>
      </c>
      <c r="AO380" s="1047">
        <f t="shared" si="219"/>
        <v>8.4</v>
      </c>
      <c r="AP380" s="2126" t="s">
        <v>387</v>
      </c>
      <c r="AQ380" s="2122">
        <f t="shared" si="236"/>
        <v>0</v>
      </c>
      <c r="AR380" s="2123">
        <f t="shared" si="237"/>
        <v>0</v>
      </c>
    </row>
    <row r="381" spans="2:48">
      <c r="B381" s="61"/>
      <c r="C381" s="999"/>
      <c r="D381" s="71"/>
      <c r="E381" s="61"/>
      <c r="G381" s="71"/>
      <c r="H381" s="418" t="s">
        <v>66</v>
      </c>
      <c r="I381" s="279">
        <v>67.8</v>
      </c>
      <c r="J381" s="280">
        <v>60</v>
      </c>
      <c r="K381" s="185" t="s">
        <v>68</v>
      </c>
      <c r="L381" s="233">
        <v>22.84</v>
      </c>
      <c r="M381" s="247">
        <v>22.84</v>
      </c>
      <c r="O381" s="1049" t="s">
        <v>89</v>
      </c>
      <c r="P381" s="1724"/>
      <c r="Q381" s="1569"/>
      <c r="R381" s="1724"/>
      <c r="S381" s="1569"/>
      <c r="T381" s="1724"/>
      <c r="U381" s="1569"/>
      <c r="V381" s="1724">
        <f t="shared" si="214"/>
        <v>0</v>
      </c>
      <c r="W381" s="1586">
        <f t="shared" si="215"/>
        <v>0</v>
      </c>
      <c r="X381" s="1724">
        <f t="shared" si="216"/>
        <v>0</v>
      </c>
      <c r="Y381" s="1585">
        <f t="shared" si="217"/>
        <v>0</v>
      </c>
      <c r="AA381" s="1844" t="s">
        <v>121</v>
      </c>
      <c r="AB381" s="2153">
        <f>F360</f>
        <v>68.63</v>
      </c>
      <c r="AC381" s="1848">
        <f>G360</f>
        <v>61.1</v>
      </c>
      <c r="AD381" s="1965">
        <f>L379</f>
        <v>47.82</v>
      </c>
      <c r="AE381" s="1904">
        <f>M379</f>
        <v>42.16</v>
      </c>
      <c r="AF381" s="1902"/>
      <c r="AG381" s="1848"/>
      <c r="AH381" s="1789">
        <f t="shared" si="238"/>
        <v>116.44999999999999</v>
      </c>
      <c r="AI381" s="1853">
        <f>AC381+AE381</f>
        <v>103.25999999999999</v>
      </c>
      <c r="AJ381" s="1789">
        <f t="shared" si="235"/>
        <v>47.82</v>
      </c>
      <c r="AK381" s="1857">
        <f t="shared" ref="AK381:AK395" si="245">AE381+AG381</f>
        <v>42.16</v>
      </c>
      <c r="AL381" s="1570"/>
      <c r="AM381" s="1944" t="s">
        <v>89</v>
      </c>
      <c r="AN381" s="1743">
        <f t="shared" si="231"/>
        <v>0</v>
      </c>
      <c r="AO381" s="1047">
        <f t="shared" si="219"/>
        <v>0</v>
      </c>
      <c r="AP381" s="1844" t="s">
        <v>121</v>
      </c>
      <c r="AQ381" s="1840">
        <f t="shared" si="236"/>
        <v>116.44999999999999</v>
      </c>
      <c r="AR381" s="1667">
        <f t="shared" si="237"/>
        <v>103.25999999999999</v>
      </c>
    </row>
    <row r="382" spans="2:48" ht="15.75" thickBot="1">
      <c r="B382" s="61"/>
      <c r="C382" s="999"/>
      <c r="D382" s="71"/>
      <c r="E382" s="61"/>
      <c r="G382" s="71"/>
      <c r="H382" s="61"/>
      <c r="J382" s="71"/>
      <c r="K382" s="186" t="s">
        <v>135</v>
      </c>
      <c r="L382" s="276">
        <v>10</v>
      </c>
      <c r="M382" s="269">
        <v>10</v>
      </c>
      <c r="O382" s="1049" t="s">
        <v>61</v>
      </c>
      <c r="P382" s="1724">
        <f>F365</f>
        <v>0.66</v>
      </c>
      <c r="Q382" s="1569">
        <f>G365</f>
        <v>0.66</v>
      </c>
      <c r="R382" s="1724">
        <f>F376+L374</f>
        <v>1.44</v>
      </c>
      <c r="S382" s="1569">
        <f>G376+M374</f>
        <v>1.44</v>
      </c>
      <c r="T382" s="1727">
        <f>I390</f>
        <v>0.25</v>
      </c>
      <c r="U382" s="1569">
        <f>J390</f>
        <v>0.25</v>
      </c>
      <c r="V382" s="1724">
        <f>P382+R382</f>
        <v>2.1</v>
      </c>
      <c r="W382" s="1586">
        <f t="shared" si="215"/>
        <v>2.1</v>
      </c>
      <c r="X382" s="1724">
        <f t="shared" si="216"/>
        <v>1.69</v>
      </c>
      <c r="Y382" s="1585">
        <f t="shared" si="217"/>
        <v>1.69</v>
      </c>
      <c r="AA382" s="1845" t="s">
        <v>388</v>
      </c>
      <c r="AB382" s="2152"/>
      <c r="AC382" s="1868"/>
      <c r="AD382" s="1870">
        <f>F379</f>
        <v>2.9449999999999998</v>
      </c>
      <c r="AE382" s="1905">
        <f>G379</f>
        <v>2.5</v>
      </c>
      <c r="AF382" s="1903"/>
      <c r="AG382" s="1868"/>
      <c r="AH382" s="1790">
        <f t="shared" si="238"/>
        <v>2.9449999999999998</v>
      </c>
      <c r="AI382" s="1854">
        <f>AC382+AE382</f>
        <v>2.5</v>
      </c>
      <c r="AJ382" s="1790">
        <f t="shared" si="235"/>
        <v>2.9449999999999998</v>
      </c>
      <c r="AK382" s="1858">
        <f t="shared" si="245"/>
        <v>2.5</v>
      </c>
      <c r="AL382" s="1570"/>
      <c r="AM382" s="1944" t="s">
        <v>61</v>
      </c>
      <c r="AN382" s="1743">
        <f t="shared" si="231"/>
        <v>2.35</v>
      </c>
      <c r="AO382" s="1047">
        <f t="shared" si="219"/>
        <v>2.35</v>
      </c>
      <c r="AP382" s="1845" t="s">
        <v>388</v>
      </c>
      <c r="AQ382" s="1840">
        <f t="shared" si="236"/>
        <v>2.9449999999999998</v>
      </c>
      <c r="AR382" s="1667">
        <f t="shared" si="237"/>
        <v>2.5</v>
      </c>
    </row>
    <row r="383" spans="2:48" ht="15.75" thickBot="1">
      <c r="B383" s="1141" t="s">
        <v>583</v>
      </c>
      <c r="C383" s="1144"/>
      <c r="D383" s="1142">
        <f>SUM(D370:D382)</f>
        <v>890</v>
      </c>
      <c r="E383" s="57"/>
      <c r="F383" s="29"/>
      <c r="G383" s="74"/>
      <c r="H383" s="57"/>
      <c r="I383" s="29"/>
      <c r="J383" s="74"/>
      <c r="K383" s="195" t="s">
        <v>103</v>
      </c>
      <c r="L383" s="277">
        <v>4</v>
      </c>
      <c r="M383" s="258">
        <v>4</v>
      </c>
      <c r="O383" s="1049" t="s">
        <v>143</v>
      </c>
      <c r="P383" s="1724"/>
      <c r="Q383" s="1569"/>
      <c r="R383" s="1724"/>
      <c r="S383" s="1569"/>
      <c r="T383" s="1724"/>
      <c r="U383" s="1569"/>
      <c r="V383" s="1724">
        <f t="shared" si="214"/>
        <v>0</v>
      </c>
      <c r="W383" s="1586">
        <f t="shared" si="215"/>
        <v>0</v>
      </c>
      <c r="X383" s="1724">
        <f t="shared" si="216"/>
        <v>0</v>
      </c>
      <c r="Y383" s="1585">
        <f t="shared" si="217"/>
        <v>0</v>
      </c>
      <c r="AA383" s="1850" t="s">
        <v>875</v>
      </c>
      <c r="AB383" s="1871">
        <f t="shared" ref="AB383" si="246">AB380+AB381+AB382</f>
        <v>68.63</v>
      </c>
      <c r="AC383" s="1851">
        <f t="shared" ref="AC383" si="247">AC380+AC381+AC382</f>
        <v>61.1</v>
      </c>
      <c r="AD383" s="1871">
        <f t="shared" ref="AD383" si="248">AD380+AD381+AD382</f>
        <v>50.765000000000001</v>
      </c>
      <c r="AE383" s="1851">
        <f t="shared" ref="AE383" si="249">AE380+AE381+AE382</f>
        <v>44.66</v>
      </c>
      <c r="AF383" s="1871">
        <f t="shared" ref="AF383" si="250">AF380+AF381+AF382</f>
        <v>0</v>
      </c>
      <c r="AG383" s="1851">
        <f t="shared" ref="AG383" si="251">AG380+AG381+AG382</f>
        <v>0</v>
      </c>
      <c r="AH383" s="1791">
        <f t="shared" si="238"/>
        <v>119.395</v>
      </c>
      <c r="AI383" s="1855">
        <f>AC383+AE383</f>
        <v>105.75999999999999</v>
      </c>
      <c r="AJ383" s="1791">
        <f t="shared" si="235"/>
        <v>50.765000000000001</v>
      </c>
      <c r="AK383" s="1859">
        <f t="shared" si="245"/>
        <v>44.66</v>
      </c>
      <c r="AL383" s="1570"/>
      <c r="AM383" s="1944" t="s">
        <v>143</v>
      </c>
      <c r="AN383" s="1743">
        <f t="shared" si="231"/>
        <v>0</v>
      </c>
      <c r="AO383" s="1047">
        <f t="shared" si="219"/>
        <v>0</v>
      </c>
      <c r="AP383" s="1850" t="s">
        <v>875</v>
      </c>
      <c r="AQ383" s="2127">
        <f>AB383+AD383+AF383</f>
        <v>119.395</v>
      </c>
      <c r="AR383" s="2128">
        <f>AC383+AE383+AG383</f>
        <v>105.75999999999999</v>
      </c>
    </row>
    <row r="384" spans="2:48" ht="15.75" thickBot="1">
      <c r="B384" s="403"/>
      <c r="C384" s="162" t="s">
        <v>324</v>
      </c>
      <c r="D384" s="752"/>
      <c r="E384" s="1059" t="s">
        <v>456</v>
      </c>
      <c r="F384" s="1092"/>
      <c r="G384" s="104"/>
      <c r="H384" s="312"/>
      <c r="I384" s="38" t="s">
        <v>455</v>
      </c>
      <c r="J384" s="50"/>
      <c r="K384" s="761" t="s">
        <v>520</v>
      </c>
      <c r="L384" s="1501"/>
      <c r="M384" s="1502"/>
      <c r="O384" s="1617" t="s">
        <v>229</v>
      </c>
      <c r="P384" s="1747">
        <f>P388+P387+P386+P385</f>
        <v>0</v>
      </c>
      <c r="Q384" s="1576">
        <f>Q385+Q386+Q387+Q388</f>
        <v>0</v>
      </c>
      <c r="R384" s="1911">
        <f>R385+R386+R387+R388</f>
        <v>1.8150000000000003E-2</v>
      </c>
      <c r="S384" s="1576">
        <f>S385+S386+S387+S388</f>
        <v>1.8150000000000003E-2</v>
      </c>
      <c r="T384" s="1747">
        <f>T385+T386+T387+T388</f>
        <v>5.0000000000000001E-3</v>
      </c>
      <c r="U384" s="1576">
        <f>U385+U386+U387+U388</f>
        <v>5.0000000000000001E-3</v>
      </c>
      <c r="V384" s="1912">
        <f>P384+R384</f>
        <v>1.8150000000000003E-2</v>
      </c>
      <c r="W384" s="1586">
        <f t="shared" si="215"/>
        <v>1.8150000000000003E-2</v>
      </c>
      <c r="X384" s="1979">
        <f>R384+T384</f>
        <v>2.3150000000000004E-2</v>
      </c>
      <c r="Y384" s="1679">
        <f t="shared" si="217"/>
        <v>2.3150000000000004E-2</v>
      </c>
      <c r="AA384" s="1695" t="s">
        <v>208</v>
      </c>
      <c r="AB384" s="1784"/>
      <c r="AC384" s="1696"/>
      <c r="AD384" s="1784"/>
      <c r="AE384" s="1697"/>
      <c r="AF384" s="1784"/>
      <c r="AG384" s="1758"/>
      <c r="AH384" s="1788">
        <f t="shared" si="238"/>
        <v>0</v>
      </c>
      <c r="AI384" s="1772">
        <f>AC384+AE384</f>
        <v>0</v>
      </c>
      <c r="AJ384" s="1788">
        <f t="shared" si="235"/>
        <v>0</v>
      </c>
      <c r="AK384" s="1603">
        <f t="shared" si="245"/>
        <v>0</v>
      </c>
      <c r="AL384" s="1570"/>
      <c r="AM384" s="1948" t="s">
        <v>229</v>
      </c>
      <c r="AN384" s="2090">
        <f>P384+R384+T384</f>
        <v>2.3150000000000004E-2</v>
      </c>
      <c r="AO384" s="1047">
        <f t="shared" si="219"/>
        <v>2.3150000000000004E-2</v>
      </c>
      <c r="AP384" s="2129" t="s">
        <v>208</v>
      </c>
      <c r="AQ384" s="2122">
        <f t="shared" si="236"/>
        <v>0</v>
      </c>
      <c r="AR384" s="2123">
        <f t="shared" si="237"/>
        <v>0</v>
      </c>
    </row>
    <row r="385" spans="2:44" ht="15.75" thickBot="1">
      <c r="B385" s="289" t="s">
        <v>821</v>
      </c>
      <c r="C385" s="241" t="s">
        <v>339</v>
      </c>
      <c r="D385" s="239">
        <v>200</v>
      </c>
      <c r="E385" s="471" t="s">
        <v>118</v>
      </c>
      <c r="F385" s="103" t="s">
        <v>119</v>
      </c>
      <c r="G385" s="318" t="s">
        <v>120</v>
      </c>
      <c r="H385" s="313" t="s">
        <v>118</v>
      </c>
      <c r="I385" s="102" t="s">
        <v>119</v>
      </c>
      <c r="J385" s="133" t="s">
        <v>120</v>
      </c>
      <c r="K385" s="859" t="s">
        <v>518</v>
      </c>
      <c r="L385" s="29"/>
      <c r="M385" s="74"/>
      <c r="O385" s="1618" t="s">
        <v>222</v>
      </c>
      <c r="P385" s="1971"/>
      <c r="Q385" s="1572"/>
      <c r="R385" s="1971">
        <f>F377+I377+L373</f>
        <v>1.8150000000000003E-2</v>
      </c>
      <c r="S385" s="1572">
        <f>G377+J377+M373</f>
        <v>1.8150000000000003E-2</v>
      </c>
      <c r="T385" s="1971">
        <f>I389</f>
        <v>5.0000000000000001E-3</v>
      </c>
      <c r="U385" s="1572">
        <f>J389</f>
        <v>5.0000000000000001E-3</v>
      </c>
      <c r="V385" s="1775">
        <f>P385+R385</f>
        <v>1.8150000000000003E-2</v>
      </c>
      <c r="W385" s="1572"/>
      <c r="X385" s="1725">
        <f t="shared" si="216"/>
        <v>2.3150000000000004E-2</v>
      </c>
      <c r="Y385" s="1607"/>
      <c r="AA385" s="1663" t="s">
        <v>81</v>
      </c>
      <c r="AB385" s="1782"/>
      <c r="AC385" s="1599"/>
      <c r="AD385" s="1782"/>
      <c r="AE385" s="1670"/>
      <c r="AF385" s="1782"/>
      <c r="AG385" s="1682"/>
      <c r="AH385" s="1789">
        <f t="shared" si="238"/>
        <v>0</v>
      </c>
      <c r="AI385" s="1772">
        <f t="shared" ref="AI385:AI395" si="252">AC385+AE385</f>
        <v>0</v>
      </c>
      <c r="AJ385" s="1789">
        <f t="shared" si="235"/>
        <v>0</v>
      </c>
      <c r="AK385" s="1645">
        <f t="shared" si="245"/>
        <v>0</v>
      </c>
      <c r="AL385" s="1570"/>
      <c r="AM385" s="1949" t="s">
        <v>222</v>
      </c>
      <c r="AN385" s="2076">
        <f t="shared" ref="AN385:AN388" si="253">P385+R385+T385</f>
        <v>2.3150000000000004E-2</v>
      </c>
      <c r="AO385" s="1594">
        <f t="shared" ref="AO385:AO389" si="254">Q385+S385+U385</f>
        <v>2.3150000000000004E-2</v>
      </c>
      <c r="AP385" s="1663" t="s">
        <v>81</v>
      </c>
      <c r="AQ385" s="1840">
        <f t="shared" si="236"/>
        <v>0</v>
      </c>
      <c r="AR385" s="1667">
        <f t="shared" si="237"/>
        <v>0</v>
      </c>
    </row>
    <row r="386" spans="2:44" ht="15.75" thickBot="1">
      <c r="B386" s="407" t="s">
        <v>1000</v>
      </c>
      <c r="C386" s="283" t="s">
        <v>466</v>
      </c>
      <c r="D386" s="44" t="s">
        <v>536</v>
      </c>
      <c r="E386" s="98" t="s">
        <v>123</v>
      </c>
      <c r="F386" s="2550">
        <v>24</v>
      </c>
      <c r="G386" s="2548">
        <v>24</v>
      </c>
      <c r="H386" s="216" t="s">
        <v>93</v>
      </c>
      <c r="I386" s="123">
        <v>25</v>
      </c>
      <c r="J386" s="309">
        <v>25</v>
      </c>
      <c r="K386" s="281" t="s">
        <v>118</v>
      </c>
      <c r="L386" s="97" t="s">
        <v>119</v>
      </c>
      <c r="M386" s="135" t="s">
        <v>120</v>
      </c>
      <c r="O386" s="1619" t="s">
        <v>679</v>
      </c>
      <c r="P386" s="1972"/>
      <c r="Q386" s="1573"/>
      <c r="R386" s="1972"/>
      <c r="S386" s="1573"/>
      <c r="T386" s="1972"/>
      <c r="U386" s="1573"/>
      <c r="V386" s="1775">
        <f t="shared" ref="V386:V387" si="255">P386+R386</f>
        <v>0</v>
      </c>
      <c r="W386" s="1573"/>
      <c r="X386" s="1725">
        <f t="shared" si="216"/>
        <v>0</v>
      </c>
      <c r="Y386" s="1608"/>
      <c r="AA386" s="1663" t="s">
        <v>83</v>
      </c>
      <c r="AB386" s="1785"/>
      <c r="AC386" s="1639"/>
      <c r="AD386" s="1785"/>
      <c r="AE386" s="1671"/>
      <c r="AF386" s="1785"/>
      <c r="AG386" s="1759"/>
      <c r="AH386" s="1789">
        <f t="shared" si="238"/>
        <v>0</v>
      </c>
      <c r="AI386" s="1772">
        <f t="shared" si="252"/>
        <v>0</v>
      </c>
      <c r="AJ386" s="1789">
        <f t="shared" si="235"/>
        <v>0</v>
      </c>
      <c r="AK386" s="1645">
        <f t="shared" si="245"/>
        <v>0</v>
      </c>
      <c r="AL386" s="1570"/>
      <c r="AM386" s="1950" t="s">
        <v>679</v>
      </c>
      <c r="AN386" s="2076">
        <f t="shared" si="253"/>
        <v>0</v>
      </c>
      <c r="AO386" s="1594">
        <f t="shared" si="254"/>
        <v>0</v>
      </c>
      <c r="AP386" s="1663" t="s">
        <v>83</v>
      </c>
      <c r="AQ386" s="1840">
        <f t="shared" si="236"/>
        <v>0</v>
      </c>
      <c r="AR386" s="1667">
        <f t="shared" si="237"/>
        <v>0</v>
      </c>
    </row>
    <row r="387" spans="2:44">
      <c r="B387" s="61"/>
      <c r="C387" s="1220" t="s">
        <v>457</v>
      </c>
      <c r="E387" s="249" t="s">
        <v>94</v>
      </c>
      <c r="F387" s="233">
        <v>120.02</v>
      </c>
      <c r="G387" s="411">
        <v>120.02</v>
      </c>
      <c r="H387" s="241" t="s">
        <v>95</v>
      </c>
      <c r="I387" s="233">
        <v>0.5</v>
      </c>
      <c r="J387" s="193">
        <v>0.5</v>
      </c>
      <c r="K387" s="480" t="s">
        <v>68</v>
      </c>
      <c r="L387" s="1506">
        <v>200</v>
      </c>
      <c r="M387" s="1507">
        <v>200</v>
      </c>
      <c r="O387" s="1620" t="s">
        <v>449</v>
      </c>
      <c r="P387" s="1982"/>
      <c r="Q387" s="1574"/>
      <c r="R387" s="1730"/>
      <c r="S387" s="1574"/>
      <c r="T387" s="1982"/>
      <c r="U387" s="1574"/>
      <c r="V387" s="1775">
        <f t="shared" si="255"/>
        <v>0</v>
      </c>
      <c r="W387" s="1574"/>
      <c r="X387" s="1725">
        <f t="shared" si="216"/>
        <v>0</v>
      </c>
      <c r="Y387" s="1609"/>
      <c r="AA387" s="1663" t="s">
        <v>84</v>
      </c>
      <c r="AB387" s="1782"/>
      <c r="AC387" s="1639"/>
      <c r="AD387" s="1782"/>
      <c r="AE387" s="1671"/>
      <c r="AF387" s="1782"/>
      <c r="AG387" s="1759"/>
      <c r="AH387" s="1789">
        <f t="shared" si="238"/>
        <v>0</v>
      </c>
      <c r="AI387" s="1772">
        <f t="shared" si="252"/>
        <v>0</v>
      </c>
      <c r="AJ387" s="1789">
        <f t="shared" si="235"/>
        <v>0</v>
      </c>
      <c r="AK387" s="1645">
        <f t="shared" si="245"/>
        <v>0</v>
      </c>
      <c r="AL387" s="1570"/>
      <c r="AM387" s="1951" t="s">
        <v>449</v>
      </c>
      <c r="AN387" s="2076">
        <f t="shared" si="253"/>
        <v>0</v>
      </c>
      <c r="AO387" s="1594">
        <f t="shared" si="254"/>
        <v>0</v>
      </c>
      <c r="AP387" s="1663" t="s">
        <v>84</v>
      </c>
      <c r="AQ387" s="1840">
        <f t="shared" si="236"/>
        <v>0</v>
      </c>
      <c r="AR387" s="1667">
        <f t="shared" si="237"/>
        <v>0</v>
      </c>
    </row>
    <row r="388" spans="2:44">
      <c r="B388" s="513"/>
      <c r="C388" s="1143"/>
      <c r="D388" s="184"/>
      <c r="E388" s="185" t="s">
        <v>95</v>
      </c>
      <c r="F388" s="233">
        <v>2.2999999999999998</v>
      </c>
      <c r="G388" s="193">
        <v>2.2999999999999998</v>
      </c>
      <c r="H388" s="167" t="s">
        <v>92</v>
      </c>
      <c r="I388" s="233">
        <v>2.75</v>
      </c>
      <c r="J388" s="193">
        <v>2.75</v>
      </c>
      <c r="K388" s="1505" t="s">
        <v>126</v>
      </c>
      <c r="L388" s="276">
        <v>2.4</v>
      </c>
      <c r="M388" s="236">
        <v>2.4</v>
      </c>
      <c r="O388" s="1942" t="s">
        <v>167</v>
      </c>
      <c r="P388" s="1983"/>
      <c r="Q388" s="1574"/>
      <c r="R388" s="1725"/>
      <c r="S388" s="1574"/>
      <c r="T388" s="1983"/>
      <c r="U388" s="1574"/>
      <c r="V388" s="1976">
        <f>P388+R388</f>
        <v>0</v>
      </c>
      <c r="W388" s="1574"/>
      <c r="X388" s="1976">
        <f t="shared" si="216"/>
        <v>0</v>
      </c>
      <c r="Y388" s="1609"/>
      <c r="AA388" s="1663" t="s">
        <v>85</v>
      </c>
      <c r="AB388" s="1782"/>
      <c r="AC388" s="1599"/>
      <c r="AD388" s="1782">
        <f>F371</f>
        <v>5.05</v>
      </c>
      <c r="AE388" s="1670">
        <f>G371</f>
        <v>5.05</v>
      </c>
      <c r="AF388" s="1782"/>
      <c r="AG388" s="1682"/>
      <c r="AH388" s="1789">
        <f t="shared" si="238"/>
        <v>5.05</v>
      </c>
      <c r="AI388" s="1772">
        <f t="shared" si="252"/>
        <v>5.05</v>
      </c>
      <c r="AJ388" s="1789">
        <f t="shared" si="235"/>
        <v>5.05</v>
      </c>
      <c r="AK388" s="1645">
        <f t="shared" si="245"/>
        <v>5.05</v>
      </c>
      <c r="AL388" s="1570"/>
      <c r="AM388" s="1953" t="s">
        <v>167</v>
      </c>
      <c r="AN388" s="2076">
        <f t="shared" si="253"/>
        <v>0</v>
      </c>
      <c r="AO388" s="1594">
        <f t="shared" si="254"/>
        <v>0</v>
      </c>
      <c r="AP388" s="1663" t="s">
        <v>85</v>
      </c>
      <c r="AQ388" s="1840">
        <f t="shared" si="236"/>
        <v>5.05</v>
      </c>
      <c r="AR388" s="1667">
        <f t="shared" si="237"/>
        <v>5.05</v>
      </c>
    </row>
    <row r="389" spans="2:44" ht="15.75" thickBot="1">
      <c r="B389" s="61"/>
      <c r="C389" s="999"/>
      <c r="E389" s="185" t="s">
        <v>458</v>
      </c>
      <c r="F389" s="233">
        <v>3.91</v>
      </c>
      <c r="G389" s="411">
        <v>2.34</v>
      </c>
      <c r="H389" s="492" t="s">
        <v>98</v>
      </c>
      <c r="I389" s="233">
        <v>5.0000000000000001E-3</v>
      </c>
      <c r="J389" s="411">
        <v>5.0000000000000001E-3</v>
      </c>
      <c r="K389" s="186" t="s">
        <v>57</v>
      </c>
      <c r="L389" s="254">
        <v>3</v>
      </c>
      <c r="M389" s="293">
        <v>3</v>
      </c>
      <c r="O389" s="195" t="s">
        <v>116</v>
      </c>
      <c r="P389" s="2060"/>
      <c r="Q389" s="2022"/>
      <c r="R389" s="1610">
        <f>L382</f>
        <v>10</v>
      </c>
      <c r="S389" s="2022">
        <f>M382</f>
        <v>10</v>
      </c>
      <c r="T389" s="1610"/>
      <c r="U389" s="2022"/>
      <c r="V389" s="1837">
        <f>P389+R389</f>
        <v>10</v>
      </c>
      <c r="W389" s="2022"/>
      <c r="X389" s="1837">
        <f>R389+T389</f>
        <v>10</v>
      </c>
      <c r="Y389" s="1611"/>
      <c r="AA389" s="1663" t="s">
        <v>87</v>
      </c>
      <c r="AB389" s="2092"/>
      <c r="AC389" s="1640"/>
      <c r="AD389" s="1782"/>
      <c r="AE389" s="1670"/>
      <c r="AF389" s="1782"/>
      <c r="AG389" s="1682"/>
      <c r="AH389" s="1789">
        <f t="shared" si="238"/>
        <v>0</v>
      </c>
      <c r="AI389" s="1772">
        <f t="shared" si="252"/>
        <v>0</v>
      </c>
      <c r="AJ389" s="1789">
        <f t="shared" si="235"/>
        <v>0</v>
      </c>
      <c r="AK389" s="1645">
        <f t="shared" si="245"/>
        <v>0</v>
      </c>
      <c r="AL389" s="1570"/>
      <c r="AM389" s="573" t="s">
        <v>116</v>
      </c>
      <c r="AN389" s="2078">
        <f>P389+R389+T389</f>
        <v>10</v>
      </c>
      <c r="AO389" s="857">
        <f t="shared" si="254"/>
        <v>10</v>
      </c>
      <c r="AP389" s="1663" t="s">
        <v>87</v>
      </c>
      <c r="AQ389" s="1840">
        <f t="shared" si="236"/>
        <v>0</v>
      </c>
      <c r="AR389" s="1667">
        <f t="shared" si="237"/>
        <v>0</v>
      </c>
    </row>
    <row r="390" spans="2:44">
      <c r="B390" s="61"/>
      <c r="C390" s="999"/>
      <c r="E390" s="185" t="s">
        <v>79</v>
      </c>
      <c r="F390" s="233">
        <v>50.24</v>
      </c>
      <c r="G390" s="411">
        <v>40</v>
      </c>
      <c r="H390" s="283" t="s">
        <v>97</v>
      </c>
      <c r="I390" s="251">
        <v>0.25</v>
      </c>
      <c r="J390" s="975">
        <v>0.25</v>
      </c>
      <c r="K390" s="186" t="s">
        <v>94</v>
      </c>
      <c r="L390" s="276">
        <v>20</v>
      </c>
      <c r="M390" s="236">
        <v>20</v>
      </c>
      <c r="Q390" s="1570"/>
      <c r="S390" s="1570"/>
      <c r="U390" s="1570"/>
      <c r="W390" s="1570"/>
      <c r="Y390" s="1570"/>
      <c r="AA390" s="1663" t="s">
        <v>88</v>
      </c>
      <c r="AB390" s="1782"/>
      <c r="AC390" s="1599"/>
      <c r="AD390" s="1782"/>
      <c r="AE390" s="1670"/>
      <c r="AF390" s="1782"/>
      <c r="AG390" s="1682"/>
      <c r="AH390" s="1789">
        <f t="shared" si="238"/>
        <v>0</v>
      </c>
      <c r="AI390" s="1772">
        <f t="shared" si="252"/>
        <v>0</v>
      </c>
      <c r="AJ390" s="1789">
        <f t="shared" si="235"/>
        <v>0</v>
      </c>
      <c r="AK390" s="1645">
        <f t="shared" si="245"/>
        <v>0</v>
      </c>
      <c r="AL390" s="1570"/>
      <c r="AP390" s="1663" t="s">
        <v>88</v>
      </c>
      <c r="AQ390" s="1840">
        <f t="shared" si="236"/>
        <v>0</v>
      </c>
      <c r="AR390" s="1667">
        <f t="shared" si="237"/>
        <v>0</v>
      </c>
    </row>
    <row r="391" spans="2:44" ht="15.75" thickBot="1">
      <c r="B391" s="61"/>
      <c r="C391" s="999"/>
      <c r="E391" s="185" t="s">
        <v>225</v>
      </c>
      <c r="F391" s="271" t="s">
        <v>990</v>
      </c>
      <c r="G391" s="275">
        <v>22.9</v>
      </c>
      <c r="H391" s="241" t="s">
        <v>94</v>
      </c>
      <c r="I391" s="233">
        <v>3</v>
      </c>
      <c r="J391" s="411">
        <v>3</v>
      </c>
      <c r="K391" s="61"/>
      <c r="M391" s="71"/>
      <c r="Q391" s="1570"/>
      <c r="S391" s="1570"/>
      <c r="U391" s="1570"/>
      <c r="W391" s="1570"/>
      <c r="Y391" s="1570"/>
      <c r="AA391" s="1685" t="s">
        <v>90</v>
      </c>
      <c r="AB391" s="1927"/>
      <c r="AC391" s="1907"/>
      <c r="AD391" s="1783"/>
      <c r="AE391" s="1687"/>
      <c r="AF391" s="1783"/>
      <c r="AG391" s="1760"/>
      <c r="AH391" s="1790">
        <f t="shared" si="238"/>
        <v>0</v>
      </c>
      <c r="AI391" s="1772">
        <f t="shared" si="252"/>
        <v>0</v>
      </c>
      <c r="AJ391" s="1790">
        <f t="shared" si="235"/>
        <v>0</v>
      </c>
      <c r="AK391" s="1805">
        <f t="shared" si="245"/>
        <v>0</v>
      </c>
      <c r="AL391" s="1570"/>
      <c r="AP391" s="1685" t="s">
        <v>90</v>
      </c>
      <c r="AQ391" s="1840">
        <f t="shared" si="236"/>
        <v>0</v>
      </c>
      <c r="AR391" s="1667">
        <f t="shared" si="237"/>
        <v>0</v>
      </c>
    </row>
    <row r="392" spans="2:44" ht="15.75" thickBot="1">
      <c r="B392" s="61"/>
      <c r="C392" s="999"/>
      <c r="E392" s="185" t="s">
        <v>93</v>
      </c>
      <c r="F392" s="233">
        <v>29.23</v>
      </c>
      <c r="G392" s="275">
        <v>29.23</v>
      </c>
      <c r="H392" s="983"/>
      <c r="J392" s="71"/>
      <c r="K392" s="61"/>
      <c r="M392" s="71"/>
      <c r="Q392" s="1570"/>
      <c r="S392" s="1570"/>
      <c r="U392" s="1570"/>
      <c r="W392" s="1570"/>
      <c r="Y392" s="1570"/>
      <c r="AA392" s="1688" t="s">
        <v>877</v>
      </c>
      <c r="AB392" s="1786">
        <f t="shared" ref="AB392" si="256">SUM(AB384:AB391)</f>
        <v>0</v>
      </c>
      <c r="AC392" s="1689">
        <f t="shared" ref="AC392" si="257">SUM(AC384:AC391)</f>
        <v>0</v>
      </c>
      <c r="AD392" s="1906">
        <f t="shared" ref="AD392" si="258">SUM(AD384:AD391)</f>
        <v>5.05</v>
      </c>
      <c r="AE392" s="1690">
        <f t="shared" ref="AE392" si="259">SUM(AE384:AE391)</f>
        <v>5.05</v>
      </c>
      <c r="AF392" s="1786">
        <f t="shared" ref="AF392" si="260">SUM(AF384:AF391)</f>
        <v>0</v>
      </c>
      <c r="AG392" s="1761">
        <f t="shared" ref="AG392" si="261">SUM(AG384:AG391)</f>
        <v>0</v>
      </c>
      <c r="AH392" s="1797">
        <f t="shared" si="238"/>
        <v>5.05</v>
      </c>
      <c r="AI392" s="1816">
        <f t="shared" si="252"/>
        <v>5.05</v>
      </c>
      <c r="AJ392" s="1797">
        <f t="shared" si="235"/>
        <v>5.05</v>
      </c>
      <c r="AK392" s="1691">
        <f t="shared" si="245"/>
        <v>5.05</v>
      </c>
      <c r="AL392" s="1570"/>
      <c r="AP392" s="1688" t="s">
        <v>877</v>
      </c>
      <c r="AQ392" s="2130">
        <f>AB392+AD392+AF392</f>
        <v>5.05</v>
      </c>
      <c r="AR392" s="1672">
        <f>AC392+AE392+AG392</f>
        <v>5.05</v>
      </c>
    </row>
    <row r="393" spans="2:44">
      <c r="B393" s="61"/>
      <c r="C393" s="1201"/>
      <c r="E393" s="249" t="s">
        <v>95</v>
      </c>
      <c r="F393" s="398">
        <v>2.06</v>
      </c>
      <c r="G393" s="1078">
        <v>2.06</v>
      </c>
      <c r="H393" s="983"/>
      <c r="J393" s="71"/>
      <c r="K393" s="61"/>
      <c r="M393" s="71"/>
      <c r="Q393" s="1570"/>
      <c r="S393" s="1570"/>
      <c r="U393" s="1570"/>
      <c r="W393" s="1570"/>
      <c r="Y393" s="1570"/>
      <c r="AA393" s="2062" t="s">
        <v>93</v>
      </c>
      <c r="AB393" s="1784"/>
      <c r="AC393" s="2064"/>
      <c r="AD393" s="1788"/>
      <c r="AE393" s="2067"/>
      <c r="AF393" s="1784"/>
      <c r="AG393" s="2064"/>
      <c r="AH393" s="1788">
        <f t="shared" si="238"/>
        <v>0</v>
      </c>
      <c r="AI393" s="2069">
        <f t="shared" si="252"/>
        <v>0</v>
      </c>
      <c r="AJ393" s="1788">
        <f t="shared" si="235"/>
        <v>0</v>
      </c>
      <c r="AK393" s="1709">
        <f t="shared" si="245"/>
        <v>0</v>
      </c>
      <c r="AL393" s="1570"/>
      <c r="AP393" s="2062" t="s">
        <v>93</v>
      </c>
      <c r="AQ393" s="2117">
        <f t="shared" ref="AQ393:AQ394" si="262">AB393+AD393+AF393</f>
        <v>0</v>
      </c>
      <c r="AR393" s="1708">
        <f t="shared" ref="AR393:AR394" si="263">AC393+AE393+AG393</f>
        <v>0</v>
      </c>
    </row>
    <row r="394" spans="2:44" ht="15.75" thickBot="1">
      <c r="B394" s="1139" t="s">
        <v>584</v>
      </c>
      <c r="C394" s="1136"/>
      <c r="D394" s="1137">
        <f>D385+155+25</f>
        <v>380</v>
      </c>
      <c r="E394" s="1050" t="s">
        <v>103</v>
      </c>
      <c r="F394" s="984">
        <v>1.3</v>
      </c>
      <c r="G394" s="1213">
        <v>1.3</v>
      </c>
      <c r="H394" s="423"/>
      <c r="I394" s="29"/>
      <c r="J394" s="74"/>
      <c r="K394" s="57"/>
      <c r="L394" s="29"/>
      <c r="M394" s="74"/>
      <c r="Q394" s="1570"/>
      <c r="S394" s="1570"/>
      <c r="U394" s="1570"/>
      <c r="W394" s="1570"/>
      <c r="Y394" s="1570"/>
      <c r="AA394" s="2063" t="s">
        <v>908</v>
      </c>
      <c r="AB394" s="1783"/>
      <c r="AC394" s="2065"/>
      <c r="AD394" s="1790"/>
      <c r="AE394" s="2068"/>
      <c r="AF394" s="1783"/>
      <c r="AG394" s="2065"/>
      <c r="AH394" s="1790">
        <f t="shared" si="238"/>
        <v>0</v>
      </c>
      <c r="AI394" s="1767">
        <f t="shared" si="252"/>
        <v>0</v>
      </c>
      <c r="AJ394" s="1790">
        <f t="shared" si="235"/>
        <v>0</v>
      </c>
      <c r="AK394" s="1701">
        <f t="shared" si="245"/>
        <v>0</v>
      </c>
      <c r="AL394" s="1570"/>
      <c r="AP394" s="2063" t="s">
        <v>908</v>
      </c>
      <c r="AQ394" s="2074">
        <f t="shared" si="262"/>
        <v>0</v>
      </c>
      <c r="AR394" s="1700">
        <f t="shared" si="263"/>
        <v>0</v>
      </c>
    </row>
    <row r="395" spans="2:44" ht="15.75" thickBot="1">
      <c r="O395" s="207"/>
      <c r="Q395" s="1570"/>
      <c r="S395" s="1570"/>
      <c r="U395" s="1570"/>
      <c r="W395" s="1570"/>
      <c r="Y395" s="367"/>
      <c r="AA395" s="1720" t="s">
        <v>909</v>
      </c>
      <c r="AB395" s="2070">
        <f t="shared" ref="AB395" si="264">SUM(AB393:AB394)</f>
        <v>0</v>
      </c>
      <c r="AC395" s="2066">
        <f t="shared" ref="AC395" si="265">SUM(AC393:AC394)</f>
        <v>0</v>
      </c>
      <c r="AD395" s="2071">
        <f t="shared" ref="AD395" si="266">SUM(AD393:AD394)</f>
        <v>0</v>
      </c>
      <c r="AE395" s="1705">
        <f t="shared" ref="AE395" si="267">SUM(AE393:AE394)</f>
        <v>0</v>
      </c>
      <c r="AF395" s="2070">
        <f t="shared" ref="AF395" si="268">SUM(AF393:AF394)</f>
        <v>0</v>
      </c>
      <c r="AG395" s="2072">
        <f t="shared" ref="AG395" si="269">SUM(AG393:AG394)</f>
        <v>0</v>
      </c>
      <c r="AH395" s="1795">
        <f t="shared" si="238"/>
        <v>0</v>
      </c>
      <c r="AI395" s="1768">
        <f t="shared" si="252"/>
        <v>0</v>
      </c>
      <c r="AJ395" s="1795">
        <f t="shared" si="235"/>
        <v>0</v>
      </c>
      <c r="AK395" s="1706">
        <f t="shared" si="245"/>
        <v>0</v>
      </c>
      <c r="AL395" s="1570"/>
      <c r="AP395" s="1720" t="s">
        <v>909</v>
      </c>
      <c r="AQ395" s="2075">
        <f>AB395+AD395+AF395</f>
        <v>0</v>
      </c>
      <c r="AR395" s="1705">
        <f>AC395+AE395+AG395</f>
        <v>0</v>
      </c>
    </row>
    <row r="396" spans="2:44">
      <c r="E396" s="4"/>
      <c r="F396" s="8"/>
      <c r="G396" s="137"/>
      <c r="H396" s="213"/>
      <c r="I396" s="4"/>
      <c r="J396" s="8"/>
      <c r="Q396" s="1570"/>
      <c r="S396" s="1570"/>
      <c r="U396" s="1570"/>
      <c r="W396" s="1570"/>
      <c r="Y396" s="367"/>
      <c r="AC396" s="62"/>
      <c r="AE396" s="62"/>
      <c r="AF396" s="367"/>
      <c r="AG396" s="786"/>
      <c r="AH396" s="367"/>
      <c r="AI396" s="62"/>
      <c r="AJ396" s="137"/>
      <c r="AK396" s="62"/>
      <c r="AL396" s="1570"/>
    </row>
    <row r="397" spans="2:44">
      <c r="E397" s="4"/>
      <c r="F397" s="32"/>
      <c r="G397" s="124"/>
      <c r="H397" s="350"/>
      <c r="I397" s="4"/>
      <c r="J397" s="8"/>
      <c r="O397" s="19"/>
      <c r="Q397" s="1570"/>
      <c r="S397" s="1570"/>
      <c r="U397" s="1570"/>
      <c r="W397" s="1570"/>
      <c r="Y397" s="367"/>
      <c r="AC397" s="62"/>
      <c r="AE397" s="62"/>
      <c r="AF397" s="367"/>
      <c r="AG397" s="786"/>
      <c r="AH397" s="367"/>
      <c r="AI397" s="62"/>
      <c r="AJ397" s="137"/>
      <c r="AK397" s="62"/>
      <c r="AL397" s="1570"/>
    </row>
    <row r="398" spans="2:44">
      <c r="E398" s="4"/>
      <c r="F398" s="8"/>
      <c r="G398" s="124"/>
      <c r="H398" s="295"/>
      <c r="I398" s="137"/>
      <c r="J398" s="141"/>
      <c r="O398" s="19"/>
      <c r="Q398" s="1570"/>
      <c r="S398" s="1570"/>
      <c r="U398" s="1570"/>
      <c r="W398" s="1570"/>
      <c r="Y398" s="367"/>
      <c r="AC398" s="62"/>
      <c r="AE398" s="62"/>
      <c r="AF398" s="367"/>
      <c r="AG398" s="786"/>
      <c r="AH398" s="367"/>
      <c r="AI398" s="62"/>
      <c r="AJ398" s="142"/>
      <c r="AK398" s="62"/>
      <c r="AL398" s="1570"/>
    </row>
    <row r="399" spans="2:44">
      <c r="C399" s="171" t="s">
        <v>551</v>
      </c>
      <c r="G399" s="2"/>
      <c r="H399" s="2"/>
      <c r="I399" s="2"/>
      <c r="L399" s="2"/>
      <c r="O399" t="s">
        <v>872</v>
      </c>
      <c r="Y399" s="1570"/>
      <c r="AA399" t="s">
        <v>872</v>
      </c>
      <c r="AK399" s="62"/>
      <c r="AL399" s="1570"/>
    </row>
    <row r="400" spans="2:44">
      <c r="C400"/>
      <c r="D400" s="94" t="s">
        <v>354</v>
      </c>
      <c r="F400" s="15"/>
      <c r="K400" s="87"/>
      <c r="Q400" s="1570"/>
      <c r="S400" s="1570"/>
      <c r="U400" s="1570"/>
      <c r="W400" s="1570"/>
      <c r="Y400" s="1570"/>
      <c r="AA400" s="94" t="str">
        <f>O402</f>
        <v>8- й   день</v>
      </c>
      <c r="AB400" s="201" t="s">
        <v>513</v>
      </c>
      <c r="AG400" s="129" t="s">
        <v>173</v>
      </c>
      <c r="AI400" s="45" t="s">
        <v>558</v>
      </c>
      <c r="AJ400" s="63"/>
      <c r="AK400" s="62"/>
      <c r="AL400" s="1570"/>
    </row>
    <row r="401" spans="2:46" ht="15.75" thickBot="1">
      <c r="Q401" s="1570"/>
      <c r="S401" s="1570"/>
      <c r="U401" s="1570"/>
      <c r="W401" s="1570"/>
      <c r="Y401" s="1570"/>
      <c r="AC401" s="62"/>
      <c r="AE401" s="62"/>
      <c r="AF401" s="1570"/>
      <c r="AG401" s="786"/>
      <c r="AH401" s="1570"/>
      <c r="AI401" s="62"/>
      <c r="AJ401" s="282"/>
      <c r="AK401" s="62"/>
      <c r="AL401" s="367"/>
      <c r="AN401" s="9"/>
    </row>
    <row r="402" spans="2:46" ht="16.5" thickBot="1">
      <c r="C402" s="1" t="s">
        <v>552</v>
      </c>
      <c r="O402" s="1936" t="s">
        <v>917</v>
      </c>
      <c r="P402" s="516" t="s">
        <v>513</v>
      </c>
      <c r="Q402" s="38"/>
      <c r="R402" s="38"/>
      <c r="S402" s="38"/>
      <c r="T402" s="38"/>
      <c r="U402" s="1937" t="s">
        <v>173</v>
      </c>
      <c r="V402" s="38"/>
      <c r="W402" s="1938" t="s">
        <v>558</v>
      </c>
      <c r="X402" s="1939"/>
      <c r="Y402" s="1582"/>
      <c r="AC402" s="62"/>
      <c r="AE402" s="62"/>
      <c r="AF402" s="1570"/>
      <c r="AG402" s="786"/>
      <c r="AH402" s="1570"/>
      <c r="AI402" s="62"/>
      <c r="AJ402" s="282"/>
      <c r="AK402" s="62"/>
      <c r="AL402" s="1570"/>
      <c r="AM402" s="37"/>
      <c r="AN402" s="312" t="s">
        <v>893</v>
      </c>
      <c r="AO402" s="38"/>
      <c r="AP402" s="68"/>
      <c r="AQ402" s="38"/>
      <c r="AR402" s="50"/>
    </row>
    <row r="403" spans="2:46" ht="15.75" thickBot="1">
      <c r="C403" s="1" t="s">
        <v>553</v>
      </c>
      <c r="O403" s="1612" t="s">
        <v>508</v>
      </c>
      <c r="P403" s="1676" t="s">
        <v>886</v>
      </c>
      <c r="Q403" s="1602"/>
      <c r="R403" s="1676" t="s">
        <v>885</v>
      </c>
      <c r="S403" s="1602"/>
      <c r="T403" s="1676" t="s">
        <v>887</v>
      </c>
      <c r="U403" s="1602"/>
      <c r="V403" s="1676" t="s">
        <v>889</v>
      </c>
      <c r="W403" s="1602"/>
      <c r="X403" s="1977" t="s">
        <v>891</v>
      </c>
      <c r="Y403" s="1978"/>
      <c r="AA403" s="1612" t="s">
        <v>508</v>
      </c>
      <c r="AB403" s="1676" t="s">
        <v>886</v>
      </c>
      <c r="AC403" s="1602"/>
      <c r="AD403" s="1676" t="s">
        <v>885</v>
      </c>
      <c r="AE403" s="1602"/>
      <c r="AF403" s="1676" t="s">
        <v>887</v>
      </c>
      <c r="AG403" s="1602"/>
      <c r="AH403" s="1676" t="s">
        <v>888</v>
      </c>
      <c r="AI403" s="1602"/>
      <c r="AJ403" s="1798" t="s">
        <v>890</v>
      </c>
      <c r="AK403" s="1602"/>
      <c r="AM403" s="1612" t="s">
        <v>508</v>
      </c>
      <c r="AN403" s="1862" t="s">
        <v>892</v>
      </c>
      <c r="AO403" s="1832"/>
      <c r="AP403" s="1612" t="s">
        <v>508</v>
      </c>
      <c r="AQ403" s="2001" t="s">
        <v>892</v>
      </c>
      <c r="AR403" s="1841"/>
    </row>
    <row r="404" spans="2:46" ht="15.75" thickBot="1">
      <c r="C404" s="1" t="s">
        <v>553</v>
      </c>
      <c r="E404" t="s">
        <v>554</v>
      </c>
      <c r="O404" s="871"/>
      <c r="P404" s="1621" t="s">
        <v>119</v>
      </c>
      <c r="Q404" s="1622" t="s">
        <v>120</v>
      </c>
      <c r="R404" s="1621" t="s">
        <v>119</v>
      </c>
      <c r="S404" s="1622" t="s">
        <v>120</v>
      </c>
      <c r="T404" s="1621" t="s">
        <v>119</v>
      </c>
      <c r="U404" s="1622" t="s">
        <v>120</v>
      </c>
      <c r="V404" s="1621" t="s">
        <v>119</v>
      </c>
      <c r="W404" s="1622" t="s">
        <v>120</v>
      </c>
      <c r="X404" s="1804" t="s">
        <v>119</v>
      </c>
      <c r="Y404" s="1822" t="s">
        <v>120</v>
      </c>
      <c r="AA404" s="2003" t="s">
        <v>67</v>
      </c>
      <c r="AB404" s="1621" t="s">
        <v>119</v>
      </c>
      <c r="AC404" s="1664" t="s">
        <v>120</v>
      </c>
      <c r="AD404" s="1637" t="s">
        <v>119</v>
      </c>
      <c r="AE404" s="1638" t="s">
        <v>120</v>
      </c>
      <c r="AF404" s="1637" t="s">
        <v>119</v>
      </c>
      <c r="AG404" s="1638" t="s">
        <v>120</v>
      </c>
      <c r="AH404" s="1621" t="s">
        <v>119</v>
      </c>
      <c r="AI404" s="1622" t="s">
        <v>120</v>
      </c>
      <c r="AJ404" s="1799" t="s">
        <v>119</v>
      </c>
      <c r="AK404" s="1622" t="s">
        <v>120</v>
      </c>
      <c r="AM404" s="871"/>
      <c r="AN404" s="1863" t="s">
        <v>119</v>
      </c>
      <c r="AO404" s="1833" t="s">
        <v>120</v>
      </c>
      <c r="AP404" s="2143" t="s">
        <v>67</v>
      </c>
      <c r="AQ404" s="2002" t="s">
        <v>119</v>
      </c>
      <c r="AR404" s="2144" t="s">
        <v>120</v>
      </c>
    </row>
    <row r="405" spans="2:46">
      <c r="C405" s="1" t="s">
        <v>555</v>
      </c>
      <c r="E405" t="s">
        <v>556</v>
      </c>
      <c r="O405" s="1992" t="s">
        <v>165</v>
      </c>
      <c r="P405" s="1731">
        <f>D421</f>
        <v>30</v>
      </c>
      <c r="Q405" s="2018">
        <f>D421</f>
        <v>30</v>
      </c>
      <c r="R405" s="1731">
        <f>D433</f>
        <v>50</v>
      </c>
      <c r="S405" s="2018">
        <f>D433</f>
        <v>50</v>
      </c>
      <c r="T405" s="1731">
        <f>D444</f>
        <v>30</v>
      </c>
      <c r="U405" s="2018">
        <f>D444</f>
        <v>30</v>
      </c>
      <c r="V405" s="1731">
        <f>P405+R405</f>
        <v>80</v>
      </c>
      <c r="W405" s="2019">
        <f>Q405+S405</f>
        <v>80</v>
      </c>
      <c r="X405" s="1731">
        <f>R405+T405</f>
        <v>80</v>
      </c>
      <c r="Y405" s="1583">
        <f>S405+U405</f>
        <v>80</v>
      </c>
      <c r="AA405" s="178" t="s">
        <v>159</v>
      </c>
      <c r="AB405" s="2035"/>
      <c r="AC405" s="840"/>
      <c r="AD405" s="1792"/>
      <c r="AE405" s="1597"/>
      <c r="AF405" s="1792"/>
      <c r="AG405" s="1681"/>
      <c r="AH405" s="1792">
        <f>AB405+AD405</f>
        <v>0</v>
      </c>
      <c r="AI405" s="1586">
        <f>AC405+AE405</f>
        <v>0</v>
      </c>
      <c r="AJ405" s="1792">
        <f>AD405+AF405</f>
        <v>0</v>
      </c>
      <c r="AK405" s="1973">
        <f>AE405+AG405</f>
        <v>0</v>
      </c>
      <c r="AM405" s="1992" t="s">
        <v>165</v>
      </c>
      <c r="AN405" s="1743">
        <f>P405+R405+T405</f>
        <v>110</v>
      </c>
      <c r="AO405" s="858">
        <f>Q405+S405+U405</f>
        <v>110</v>
      </c>
      <c r="AP405" s="2034" t="s">
        <v>159</v>
      </c>
      <c r="AQ405" s="2112">
        <f>AB405+AD405+AF405</f>
        <v>0</v>
      </c>
      <c r="AR405" s="856">
        <f>AC405+AE405+AG405</f>
        <v>0</v>
      </c>
    </row>
    <row r="406" spans="2:46">
      <c r="C406" s="1" t="s">
        <v>555</v>
      </c>
      <c r="E406" t="s">
        <v>557</v>
      </c>
      <c r="O406" s="1944" t="s">
        <v>164</v>
      </c>
      <c r="P406" s="1724">
        <f>D420</f>
        <v>40</v>
      </c>
      <c r="Q406" s="2020">
        <f>D420</f>
        <v>40</v>
      </c>
      <c r="R406" s="1724">
        <f>D432</f>
        <v>60</v>
      </c>
      <c r="S406" s="2020">
        <f>D432</f>
        <v>60</v>
      </c>
      <c r="T406" s="1724">
        <f>F443</f>
        <v>6</v>
      </c>
      <c r="U406" s="2020">
        <f>G443</f>
        <v>6</v>
      </c>
      <c r="V406" s="1724">
        <f t="shared" ref="V406:V434" si="270">P406+R406</f>
        <v>100</v>
      </c>
      <c r="W406" s="1586">
        <f t="shared" ref="W406:W435" si="271">Q406+S406</f>
        <v>100</v>
      </c>
      <c r="X406" s="1724">
        <f t="shared" ref="X406:X439" si="272">R406+T406</f>
        <v>66</v>
      </c>
      <c r="Y406" s="1585">
        <f t="shared" ref="Y406:Y435" si="273">S406+U406</f>
        <v>66</v>
      </c>
      <c r="AA406" s="178" t="s">
        <v>70</v>
      </c>
      <c r="AB406" s="444"/>
      <c r="AC406" s="841"/>
      <c r="AD406" s="1789"/>
      <c r="AE406" s="1598"/>
      <c r="AF406" s="1789"/>
      <c r="AG406" s="1681"/>
      <c r="AH406" s="1789">
        <f>AB406+AD406</f>
        <v>0</v>
      </c>
      <c r="AI406" s="1586">
        <f t="shared" ref="AI406:AJ419" si="274">AC406+AE406</f>
        <v>0</v>
      </c>
      <c r="AJ406" s="1789">
        <f>AD406+AF406</f>
        <v>0</v>
      </c>
      <c r="AK406" s="1585">
        <f t="shared" ref="AK406:AK419" si="275">AE406+AG406</f>
        <v>0</v>
      </c>
      <c r="AM406" s="1944" t="s">
        <v>164</v>
      </c>
      <c r="AN406" s="1743">
        <f t="shared" ref="AN406:AN418" si="276">P406+R406+T406</f>
        <v>106</v>
      </c>
      <c r="AO406" s="858">
        <f t="shared" ref="AO406:AO435" si="277">Q406+S406+U406</f>
        <v>106</v>
      </c>
      <c r="AP406" s="2039" t="s">
        <v>70</v>
      </c>
      <c r="AQ406" s="1801">
        <f t="shared" ref="AQ406:AQ421" si="278">AB406+AD406+AF406</f>
        <v>0</v>
      </c>
      <c r="AR406" s="856">
        <f t="shared" ref="AR406:AR420" si="279">AC406+AE406+AG406</f>
        <v>0</v>
      </c>
    </row>
    <row r="407" spans="2:46">
      <c r="O407" s="1993" t="s">
        <v>92</v>
      </c>
      <c r="P407" s="1724">
        <f>F415+I415</f>
        <v>7.2899999999999991</v>
      </c>
      <c r="Q407" s="2085">
        <f>G415+J415</f>
        <v>7.2899999999999991</v>
      </c>
      <c r="R407" s="1724">
        <f>L430</f>
        <v>5.78</v>
      </c>
      <c r="S407" s="1586">
        <f>M430</f>
        <v>5.78</v>
      </c>
      <c r="T407" s="1724">
        <f>I444</f>
        <v>0.69</v>
      </c>
      <c r="U407" s="1586">
        <f>J444</f>
        <v>0.69</v>
      </c>
      <c r="V407" s="1724">
        <f t="shared" si="270"/>
        <v>13.07</v>
      </c>
      <c r="W407" s="1586">
        <f t="shared" si="271"/>
        <v>13.07</v>
      </c>
      <c r="X407" s="1724">
        <f t="shared" si="272"/>
        <v>6.4700000000000006</v>
      </c>
      <c r="Y407" s="1585">
        <f t="shared" si="273"/>
        <v>6.4700000000000006</v>
      </c>
      <c r="AA407" s="125" t="s">
        <v>72</v>
      </c>
      <c r="AB407" s="444"/>
      <c r="AC407" s="842"/>
      <c r="AD407" s="1789"/>
      <c r="AE407" s="1597"/>
      <c r="AF407" s="1789"/>
      <c r="AG407" s="1681"/>
      <c r="AH407" s="1789">
        <f>AB407+AD407</f>
        <v>0</v>
      </c>
      <c r="AI407" s="1586">
        <f t="shared" si="274"/>
        <v>0</v>
      </c>
      <c r="AJ407" s="1789">
        <f>AD407+AF407</f>
        <v>0</v>
      </c>
      <c r="AK407" s="1585">
        <f t="shared" si="275"/>
        <v>0</v>
      </c>
      <c r="AM407" s="1993" t="s">
        <v>92</v>
      </c>
      <c r="AN407" s="1743">
        <f t="shared" si="276"/>
        <v>13.76</v>
      </c>
      <c r="AO407" s="858">
        <f t="shared" si="277"/>
        <v>13.76</v>
      </c>
      <c r="AP407" s="2100" t="s">
        <v>72</v>
      </c>
      <c r="AQ407" s="1801">
        <f t="shared" si="278"/>
        <v>0</v>
      </c>
      <c r="AR407" s="856">
        <f t="shared" si="279"/>
        <v>0</v>
      </c>
    </row>
    <row r="408" spans="2:46" ht="15.75" thickBot="1">
      <c r="B408" s="2" t="s">
        <v>513</v>
      </c>
      <c r="F408" s="129" t="s">
        <v>173</v>
      </c>
      <c r="I408" s="13" t="s">
        <v>558</v>
      </c>
      <c r="K408" s="346"/>
      <c r="O408" s="1996" t="s">
        <v>900</v>
      </c>
      <c r="P408" s="1725">
        <f t="shared" ref="P408:U408" si="280">AB443</f>
        <v>0</v>
      </c>
      <c r="Q408" s="1595">
        <f t="shared" si="280"/>
        <v>0</v>
      </c>
      <c r="R408" s="1725">
        <f t="shared" si="280"/>
        <v>20</v>
      </c>
      <c r="S408" s="1595">
        <f t="shared" si="280"/>
        <v>20</v>
      </c>
      <c r="T408" s="1725">
        <f t="shared" si="280"/>
        <v>0</v>
      </c>
      <c r="U408" s="1595">
        <f t="shared" si="280"/>
        <v>0</v>
      </c>
      <c r="V408" s="1725">
        <f>P408+R408</f>
        <v>20</v>
      </c>
      <c r="W408" s="1594">
        <f t="shared" si="271"/>
        <v>20</v>
      </c>
      <c r="X408" s="1725">
        <f t="shared" si="272"/>
        <v>20</v>
      </c>
      <c r="Y408" s="1820">
        <f t="shared" si="273"/>
        <v>20</v>
      </c>
      <c r="AA408" s="125" t="s">
        <v>74</v>
      </c>
      <c r="AB408" s="1789"/>
      <c r="AC408" s="1958"/>
      <c r="AD408" s="1789"/>
      <c r="AE408" s="1598"/>
      <c r="AF408" s="1789"/>
      <c r="AG408" s="1681"/>
      <c r="AH408" s="1789">
        <f t="shared" ref="AH408:AH419" si="281">AB408+AD408</f>
        <v>0</v>
      </c>
      <c r="AI408" s="1586">
        <f t="shared" si="274"/>
        <v>0</v>
      </c>
      <c r="AJ408" s="1789">
        <f t="shared" si="274"/>
        <v>0</v>
      </c>
      <c r="AK408" s="1585">
        <f t="shared" si="275"/>
        <v>0</v>
      </c>
      <c r="AM408" s="1996" t="s">
        <v>900</v>
      </c>
      <c r="AN408" s="2076">
        <f t="shared" si="276"/>
        <v>20</v>
      </c>
      <c r="AO408" s="858">
        <f t="shared" si="277"/>
        <v>20</v>
      </c>
      <c r="AP408" s="2100" t="s">
        <v>74</v>
      </c>
      <c r="AQ408" s="1801">
        <f t="shared" si="278"/>
        <v>0</v>
      </c>
      <c r="AR408" s="856">
        <f t="shared" si="279"/>
        <v>0</v>
      </c>
    </row>
    <row r="409" spans="2:46">
      <c r="B409" s="25" t="s">
        <v>565</v>
      </c>
      <c r="C409" s="83" t="s">
        <v>3</v>
      </c>
      <c r="D409" s="84" t="s">
        <v>4</v>
      </c>
      <c r="E409" s="88" t="s">
        <v>69</v>
      </c>
      <c r="F409" s="68"/>
      <c r="G409" s="68"/>
      <c r="H409" s="68"/>
      <c r="I409" s="68"/>
      <c r="J409" s="68"/>
      <c r="K409" s="68"/>
      <c r="L409" s="68"/>
      <c r="M409" s="54"/>
      <c r="O409" s="1944" t="s">
        <v>123</v>
      </c>
      <c r="P409" s="1724">
        <f>L414</f>
        <v>60</v>
      </c>
      <c r="Q409" s="1569">
        <f>M414</f>
        <v>60</v>
      </c>
      <c r="R409" s="1724"/>
      <c r="S409" s="1569"/>
      <c r="T409" s="1724"/>
      <c r="U409" s="1569"/>
      <c r="V409" s="1724">
        <f t="shared" si="270"/>
        <v>60</v>
      </c>
      <c r="W409" s="1586">
        <f t="shared" si="271"/>
        <v>60</v>
      </c>
      <c r="X409" s="1724">
        <f t="shared" si="272"/>
        <v>0</v>
      </c>
      <c r="Y409" s="1585">
        <f t="shared" si="273"/>
        <v>0</v>
      </c>
      <c r="AA409" s="126" t="s">
        <v>112</v>
      </c>
      <c r="AB409" s="1789">
        <f>L417</f>
        <v>5.61</v>
      </c>
      <c r="AC409" s="1957">
        <f>M417</f>
        <v>5.61</v>
      </c>
      <c r="AD409" s="1969"/>
      <c r="AE409" s="1598"/>
      <c r="AF409" s="1789"/>
      <c r="AG409" s="1681"/>
      <c r="AH409" s="1789">
        <f t="shared" si="281"/>
        <v>5.61</v>
      </c>
      <c r="AI409" s="1586">
        <f t="shared" si="274"/>
        <v>5.61</v>
      </c>
      <c r="AJ409" s="1789">
        <f t="shared" si="274"/>
        <v>0</v>
      </c>
      <c r="AK409" s="1585">
        <f t="shared" si="275"/>
        <v>0</v>
      </c>
      <c r="AM409" s="1944" t="s">
        <v>123</v>
      </c>
      <c r="AN409" s="1743">
        <f t="shared" si="276"/>
        <v>60</v>
      </c>
      <c r="AO409" s="858">
        <f t="shared" si="277"/>
        <v>60</v>
      </c>
      <c r="AP409" s="2039" t="s">
        <v>112</v>
      </c>
      <c r="AQ409" s="1801">
        <f t="shared" si="278"/>
        <v>5.61</v>
      </c>
      <c r="AR409" s="856">
        <f t="shared" si="279"/>
        <v>5.61</v>
      </c>
      <c r="AT409" s="855"/>
    </row>
    <row r="410" spans="2:46" ht="15.75" thickBot="1">
      <c r="B410" s="287" t="s">
        <v>566</v>
      </c>
      <c r="C410"/>
      <c r="D410" s="288" t="s">
        <v>71</v>
      </c>
      <c r="E410" s="484"/>
      <c r="F410" s="29"/>
      <c r="G410" s="29"/>
      <c r="H410" s="29"/>
      <c r="I410" s="29"/>
      <c r="J410" s="29"/>
      <c r="K410" s="873"/>
      <c r="L410" s="29"/>
      <c r="M410" s="74"/>
      <c r="N410" s="1"/>
      <c r="O410" s="560" t="s">
        <v>52</v>
      </c>
      <c r="P410" s="1724"/>
      <c r="Q410" s="1586"/>
      <c r="R410" s="1724">
        <f>I431</f>
        <v>95.76</v>
      </c>
      <c r="S410" s="1569">
        <f>J431</f>
        <v>71.819999999999993</v>
      </c>
      <c r="T410" s="1966">
        <f>F446</f>
        <v>94.46</v>
      </c>
      <c r="U410" s="1569">
        <f>G446</f>
        <v>71</v>
      </c>
      <c r="V410" s="1724">
        <f t="shared" si="270"/>
        <v>95.76</v>
      </c>
      <c r="W410" s="1586">
        <f t="shared" si="271"/>
        <v>71.819999999999993</v>
      </c>
      <c r="X410" s="1724">
        <f t="shared" si="272"/>
        <v>190.22</v>
      </c>
      <c r="Y410" s="1585">
        <f t="shared" si="273"/>
        <v>142.82</v>
      </c>
      <c r="AA410" s="125" t="s">
        <v>161</v>
      </c>
      <c r="AB410" s="1789"/>
      <c r="AC410" s="1957"/>
      <c r="AD410" s="1789"/>
      <c r="AE410" s="1598"/>
      <c r="AF410" s="1789"/>
      <c r="AG410" s="1681"/>
      <c r="AH410" s="1789">
        <f t="shared" si="281"/>
        <v>0</v>
      </c>
      <c r="AI410" s="1586">
        <f t="shared" si="274"/>
        <v>0</v>
      </c>
      <c r="AJ410" s="1789">
        <f t="shared" si="274"/>
        <v>0</v>
      </c>
      <c r="AK410" s="1585">
        <f t="shared" si="275"/>
        <v>0</v>
      </c>
      <c r="AM410" s="495" t="s">
        <v>52</v>
      </c>
      <c r="AN410" s="1743">
        <f t="shared" si="276"/>
        <v>190.22</v>
      </c>
      <c r="AO410" s="858">
        <f t="shared" si="277"/>
        <v>142.82</v>
      </c>
      <c r="AP410" s="2100" t="s">
        <v>161</v>
      </c>
      <c r="AQ410" s="1801">
        <f t="shared" si="278"/>
        <v>0</v>
      </c>
      <c r="AR410" s="856">
        <f t="shared" si="279"/>
        <v>0</v>
      </c>
    </row>
    <row r="411" spans="2:46" ht="16.5" thickBot="1">
      <c r="B411" s="876" t="s">
        <v>561</v>
      </c>
      <c r="C411" s="960"/>
      <c r="D411" s="464"/>
      <c r="E411" s="402" t="s">
        <v>599</v>
      </c>
      <c r="F411" s="38"/>
      <c r="G411" s="38"/>
      <c r="H411" s="38"/>
      <c r="I411" s="38"/>
      <c r="J411" s="38"/>
      <c r="K411" s="761" t="s">
        <v>330</v>
      </c>
      <c r="L411" s="472"/>
      <c r="M411" s="491"/>
      <c r="O411" s="2016" t="s">
        <v>912</v>
      </c>
      <c r="P411" s="2050">
        <f t="shared" ref="P411:U411" si="282">AB420</f>
        <v>119.36</v>
      </c>
      <c r="Q411" s="1598">
        <f t="shared" si="282"/>
        <v>103.68</v>
      </c>
      <c r="R411" s="2086">
        <f t="shared" si="282"/>
        <v>113.9</v>
      </c>
      <c r="S411" s="1598">
        <f t="shared" si="282"/>
        <v>85.6</v>
      </c>
      <c r="T411" s="1726">
        <f t="shared" si="282"/>
        <v>0</v>
      </c>
      <c r="U411" s="1598">
        <f t="shared" si="282"/>
        <v>0</v>
      </c>
      <c r="V411" s="2050">
        <f>P411+R411</f>
        <v>233.26</v>
      </c>
      <c r="W411" s="1597">
        <f t="shared" si="271"/>
        <v>189.28</v>
      </c>
      <c r="X411" s="2086">
        <f>R411+T411</f>
        <v>113.9</v>
      </c>
      <c r="Y411" s="1604">
        <f t="shared" si="273"/>
        <v>85.6</v>
      </c>
      <c r="AA411" s="125" t="s">
        <v>155</v>
      </c>
      <c r="AB411" s="2083"/>
      <c r="AC411" s="1957"/>
      <c r="AD411" s="2083"/>
      <c r="AE411" s="1597"/>
      <c r="AF411" s="1789"/>
      <c r="AG411" s="1681"/>
      <c r="AH411" s="1789">
        <f t="shared" si="281"/>
        <v>0</v>
      </c>
      <c r="AI411" s="1586">
        <f t="shared" si="274"/>
        <v>0</v>
      </c>
      <c r="AJ411" s="1789">
        <f t="shared" si="274"/>
        <v>0</v>
      </c>
      <c r="AK411" s="1585">
        <f t="shared" si="275"/>
        <v>0</v>
      </c>
      <c r="AM411" s="2016" t="s">
        <v>96</v>
      </c>
      <c r="AN411" s="2077">
        <f t="shared" si="276"/>
        <v>233.26</v>
      </c>
      <c r="AO411" s="858">
        <f t="shared" si="277"/>
        <v>189.28</v>
      </c>
      <c r="AP411" s="2100" t="s">
        <v>155</v>
      </c>
      <c r="AQ411" s="1801">
        <f t="shared" si="278"/>
        <v>0</v>
      </c>
      <c r="AR411" s="856">
        <f t="shared" si="279"/>
        <v>0</v>
      </c>
    </row>
    <row r="412" spans="2:46" ht="15.75" thickBot="1">
      <c r="B412" s="88"/>
      <c r="C412" s="162" t="s">
        <v>199</v>
      </c>
      <c r="D412" s="54"/>
      <c r="E412" s="890" t="s">
        <v>118</v>
      </c>
      <c r="F412" s="103" t="s">
        <v>119</v>
      </c>
      <c r="G412" s="136" t="s">
        <v>120</v>
      </c>
      <c r="H412" s="686" t="s">
        <v>118</v>
      </c>
      <c r="I412" s="252" t="s">
        <v>119</v>
      </c>
      <c r="J412" s="335" t="s">
        <v>120</v>
      </c>
      <c r="K412" s="823" t="s">
        <v>374</v>
      </c>
      <c r="L412" s="511"/>
      <c r="M412" s="512"/>
      <c r="O412" s="1943" t="s">
        <v>901</v>
      </c>
      <c r="P412" s="1727"/>
      <c r="Q412" s="1586"/>
      <c r="R412" s="1727">
        <f>AD427</f>
        <v>124.85</v>
      </c>
      <c r="S412" s="1569">
        <f>AE427</f>
        <v>110</v>
      </c>
      <c r="T412" s="1727">
        <f>AF427</f>
        <v>0</v>
      </c>
      <c r="U412" s="1569">
        <f>AG427</f>
        <v>0</v>
      </c>
      <c r="V412" s="1727">
        <f>P412+R412</f>
        <v>124.85</v>
      </c>
      <c r="W412" s="1586">
        <f t="shared" si="271"/>
        <v>110</v>
      </c>
      <c r="X412" s="1727">
        <f>R412+T412</f>
        <v>124.85</v>
      </c>
      <c r="Y412" s="1585">
        <f t="shared" si="273"/>
        <v>110</v>
      </c>
      <c r="AA412" s="125" t="s">
        <v>158</v>
      </c>
      <c r="AB412" s="1789"/>
      <c r="AC412" s="1959"/>
      <c r="AD412" s="1789">
        <f>L436</f>
        <v>69.42</v>
      </c>
      <c r="AE412" s="1598">
        <f>M436</f>
        <v>48.6</v>
      </c>
      <c r="AF412" s="1789"/>
      <c r="AG412" s="1681"/>
      <c r="AH412" s="1789">
        <f t="shared" si="281"/>
        <v>69.42</v>
      </c>
      <c r="AI412" s="1586">
        <f t="shared" si="274"/>
        <v>48.6</v>
      </c>
      <c r="AJ412" s="1789">
        <f t="shared" si="274"/>
        <v>69.42</v>
      </c>
      <c r="AK412" s="1585">
        <f t="shared" si="275"/>
        <v>48.6</v>
      </c>
      <c r="AM412" s="1943" t="s">
        <v>901</v>
      </c>
      <c r="AN412" s="1743">
        <f t="shared" si="276"/>
        <v>124.85</v>
      </c>
      <c r="AO412" s="858">
        <f t="shared" si="277"/>
        <v>110</v>
      </c>
      <c r="AP412" s="2100" t="s">
        <v>158</v>
      </c>
      <c r="AQ412" s="1801">
        <f t="shared" si="278"/>
        <v>69.42</v>
      </c>
      <c r="AR412" s="856">
        <f t="shared" si="279"/>
        <v>48.6</v>
      </c>
    </row>
    <row r="413" spans="2:46" ht="15.75" thickBot="1">
      <c r="B413" s="1184" t="s">
        <v>625</v>
      </c>
      <c r="C413" s="241" t="s">
        <v>406</v>
      </c>
      <c r="D413" s="378">
        <v>60</v>
      </c>
      <c r="E413" s="259" t="s">
        <v>75</v>
      </c>
      <c r="F413" s="177">
        <v>148.08000000000001</v>
      </c>
      <c r="G413" s="426">
        <v>120</v>
      </c>
      <c r="H413" s="216" t="s">
        <v>110</v>
      </c>
      <c r="I413" s="123"/>
      <c r="J413" s="131"/>
      <c r="K413" s="313" t="s">
        <v>118</v>
      </c>
      <c r="L413" s="97" t="s">
        <v>119</v>
      </c>
      <c r="M413" s="135" t="s">
        <v>120</v>
      </c>
      <c r="O413" s="1947" t="s">
        <v>122</v>
      </c>
      <c r="P413" s="1727">
        <f>L422</f>
        <v>20</v>
      </c>
      <c r="Q413" s="1569">
        <f>M422</f>
        <v>20</v>
      </c>
      <c r="R413" s="1727"/>
      <c r="S413" s="1569"/>
      <c r="T413" s="1970">
        <f>L442</f>
        <v>24</v>
      </c>
      <c r="U413" s="1569">
        <f>M442</f>
        <v>24</v>
      </c>
      <c r="V413" s="1724">
        <f t="shared" si="270"/>
        <v>20</v>
      </c>
      <c r="W413" s="1586">
        <f t="shared" si="271"/>
        <v>20</v>
      </c>
      <c r="X413" s="1727">
        <f>R413+T413</f>
        <v>24</v>
      </c>
      <c r="Y413" s="1585">
        <f t="shared" si="273"/>
        <v>24</v>
      </c>
      <c r="AA413" s="125" t="s">
        <v>101</v>
      </c>
      <c r="AB413" s="1789">
        <f>F417+I419+L416</f>
        <v>30.95</v>
      </c>
      <c r="AC413" s="1959">
        <f>G417+J419+M416</f>
        <v>26.07</v>
      </c>
      <c r="AD413" s="1969">
        <f>F430+I429+L437</f>
        <v>31.98</v>
      </c>
      <c r="AE413" s="1598">
        <f>G430+J429+M437</f>
        <v>27</v>
      </c>
      <c r="AF413" s="1789"/>
      <c r="AG413" s="1681"/>
      <c r="AH413" s="1789">
        <f t="shared" si="281"/>
        <v>62.93</v>
      </c>
      <c r="AI413" s="1586">
        <f t="shared" si="274"/>
        <v>53.07</v>
      </c>
      <c r="AJ413" s="1789">
        <f t="shared" si="274"/>
        <v>31.98</v>
      </c>
      <c r="AK413" s="1585">
        <f t="shared" si="275"/>
        <v>27</v>
      </c>
      <c r="AM413" s="1947" t="s">
        <v>122</v>
      </c>
      <c r="AN413" s="1743">
        <f t="shared" si="276"/>
        <v>44</v>
      </c>
      <c r="AO413" s="858">
        <f t="shared" si="277"/>
        <v>44</v>
      </c>
      <c r="AP413" s="2100" t="s">
        <v>101</v>
      </c>
      <c r="AQ413" s="1801">
        <f t="shared" si="278"/>
        <v>62.93</v>
      </c>
      <c r="AR413" s="856">
        <f t="shared" si="279"/>
        <v>53.07</v>
      </c>
    </row>
    <row r="414" spans="2:46">
      <c r="B414" s="376" t="s">
        <v>329</v>
      </c>
      <c r="C414" s="283" t="s">
        <v>330</v>
      </c>
      <c r="D414" s="166">
        <v>195</v>
      </c>
      <c r="E414" s="192" t="s">
        <v>103</v>
      </c>
      <c r="F414" s="396">
        <v>6.6</v>
      </c>
      <c r="G414" s="411">
        <v>6.6</v>
      </c>
      <c r="H414" s="167" t="s">
        <v>108</v>
      </c>
      <c r="I414" s="498">
        <v>2.2999999999999998</v>
      </c>
      <c r="J414" s="499">
        <v>2.2999999999999998</v>
      </c>
      <c r="K414" s="100" t="s">
        <v>76</v>
      </c>
      <c r="L414" s="123">
        <v>60</v>
      </c>
      <c r="M414" s="309">
        <v>60</v>
      </c>
      <c r="O414" s="1993" t="s">
        <v>923</v>
      </c>
      <c r="P414" s="1724"/>
      <c r="Q414" s="1569"/>
      <c r="R414" s="1724">
        <f>D431</f>
        <v>200</v>
      </c>
      <c r="S414" s="1569">
        <f>D431</f>
        <v>200</v>
      </c>
      <c r="T414" s="1724"/>
      <c r="U414" s="1569"/>
      <c r="V414" s="1724">
        <f t="shared" si="270"/>
        <v>200</v>
      </c>
      <c r="W414" s="1586">
        <f t="shared" si="271"/>
        <v>200</v>
      </c>
      <c r="X414" s="1724">
        <f t="shared" si="272"/>
        <v>200</v>
      </c>
      <c r="Y414" s="1585">
        <f t="shared" si="273"/>
        <v>200</v>
      </c>
      <c r="AA414" s="125" t="s">
        <v>79</v>
      </c>
      <c r="AB414" s="1789">
        <f>L415</f>
        <v>15</v>
      </c>
      <c r="AC414" s="1957">
        <f>M415</f>
        <v>12</v>
      </c>
      <c r="AD414" s="1969">
        <f>F429</f>
        <v>12.5</v>
      </c>
      <c r="AE414" s="1598">
        <f>G429</f>
        <v>10</v>
      </c>
      <c r="AF414" s="1789"/>
      <c r="AG414" s="1681"/>
      <c r="AH414" s="1789">
        <f t="shared" si="281"/>
        <v>27.5</v>
      </c>
      <c r="AI414" s="1586">
        <f t="shared" si="274"/>
        <v>22</v>
      </c>
      <c r="AJ414" s="1789">
        <f t="shared" si="274"/>
        <v>12.5</v>
      </c>
      <c r="AK414" s="1585">
        <f t="shared" si="275"/>
        <v>10</v>
      </c>
      <c r="AM414" s="1993" t="s">
        <v>163</v>
      </c>
      <c r="AN414" s="1743">
        <f t="shared" si="276"/>
        <v>200</v>
      </c>
      <c r="AO414" s="858">
        <f t="shared" si="277"/>
        <v>200</v>
      </c>
      <c r="AP414" s="2100" t="s">
        <v>79</v>
      </c>
      <c r="AQ414" s="1801">
        <f t="shared" si="278"/>
        <v>27.5</v>
      </c>
      <c r="AR414" s="856">
        <f t="shared" si="279"/>
        <v>22</v>
      </c>
    </row>
    <row r="415" spans="2:46">
      <c r="B415" s="1156"/>
      <c r="C415" s="167" t="s">
        <v>240</v>
      </c>
      <c r="D415" s="71"/>
      <c r="E415" s="192" t="s">
        <v>92</v>
      </c>
      <c r="F415" s="396">
        <v>6.6</v>
      </c>
      <c r="G415" s="411">
        <v>6.6</v>
      </c>
      <c r="H415" s="241" t="s">
        <v>92</v>
      </c>
      <c r="I415" s="233">
        <v>0.69</v>
      </c>
      <c r="J415" s="235">
        <v>0.69</v>
      </c>
      <c r="K415" s="185" t="s">
        <v>79</v>
      </c>
      <c r="L415" s="233">
        <v>15</v>
      </c>
      <c r="M415" s="236">
        <v>12</v>
      </c>
      <c r="N415" s="654"/>
      <c r="O415" s="560" t="s">
        <v>895</v>
      </c>
      <c r="P415" s="1724">
        <f t="shared" ref="P415:U415" si="283">AB430</f>
        <v>0</v>
      </c>
      <c r="Q415" s="1569">
        <f t="shared" si="283"/>
        <v>0</v>
      </c>
      <c r="R415" s="1724">
        <f t="shared" si="283"/>
        <v>0</v>
      </c>
      <c r="S415" s="1569">
        <f t="shared" si="283"/>
        <v>0</v>
      </c>
      <c r="T415" s="1724">
        <f t="shared" si="283"/>
        <v>0</v>
      </c>
      <c r="U415" s="1569">
        <f t="shared" si="283"/>
        <v>0</v>
      </c>
      <c r="V415" s="1724">
        <f t="shared" si="270"/>
        <v>0</v>
      </c>
      <c r="W415" s="1586">
        <f t="shared" si="271"/>
        <v>0</v>
      </c>
      <c r="X415" s="1724">
        <f t="shared" si="272"/>
        <v>0</v>
      </c>
      <c r="Y415" s="1585">
        <f t="shared" si="273"/>
        <v>0</v>
      </c>
      <c r="AA415" s="125" t="s">
        <v>86</v>
      </c>
      <c r="AB415" s="1789"/>
      <c r="AC415" s="1960"/>
      <c r="AD415" s="1789"/>
      <c r="AE415" s="1598"/>
      <c r="AF415" s="1789"/>
      <c r="AG415" s="1681"/>
      <c r="AH415" s="1789">
        <f t="shared" si="281"/>
        <v>0</v>
      </c>
      <c r="AI415" s="1586">
        <f t="shared" si="274"/>
        <v>0</v>
      </c>
      <c r="AJ415" s="1789">
        <f t="shared" si="274"/>
        <v>0</v>
      </c>
      <c r="AK415" s="1585">
        <f t="shared" si="275"/>
        <v>0</v>
      </c>
      <c r="AM415" s="560" t="s">
        <v>895</v>
      </c>
      <c r="AN415" s="1743">
        <f t="shared" si="276"/>
        <v>0</v>
      </c>
      <c r="AO415" s="858">
        <f t="shared" si="277"/>
        <v>0</v>
      </c>
      <c r="AP415" s="2100" t="s">
        <v>86</v>
      </c>
      <c r="AQ415" s="1801">
        <f t="shared" si="278"/>
        <v>0</v>
      </c>
      <c r="AR415" s="856">
        <f t="shared" si="279"/>
        <v>0</v>
      </c>
    </row>
    <row r="416" spans="2:46">
      <c r="B416" s="477" t="s">
        <v>547</v>
      </c>
      <c r="C416" s="398" t="s">
        <v>597</v>
      </c>
      <c r="D416" s="429" t="s">
        <v>515</v>
      </c>
      <c r="E416" s="192" t="s">
        <v>93</v>
      </c>
      <c r="F416" s="233">
        <v>57.2</v>
      </c>
      <c r="G416" s="275">
        <v>57.2</v>
      </c>
      <c r="H416" s="241" t="s">
        <v>94</v>
      </c>
      <c r="I416" s="256">
        <v>6.9</v>
      </c>
      <c r="J416" s="257">
        <v>6.9</v>
      </c>
      <c r="K416" s="185" t="s">
        <v>221</v>
      </c>
      <c r="L416" s="233">
        <v>13.02</v>
      </c>
      <c r="M416" s="236">
        <v>10.97</v>
      </c>
      <c r="O416" s="1944" t="s">
        <v>894</v>
      </c>
      <c r="P416" s="1724">
        <f t="shared" ref="P416:U416" si="284">AB434</f>
        <v>0</v>
      </c>
      <c r="Q416" s="1586">
        <f t="shared" si="284"/>
        <v>0</v>
      </c>
      <c r="R416" s="1724">
        <f t="shared" si="284"/>
        <v>2.9449999999999998</v>
      </c>
      <c r="S416" s="1586">
        <f t="shared" si="284"/>
        <v>2.5</v>
      </c>
      <c r="T416" s="1724">
        <f t="shared" si="284"/>
        <v>0</v>
      </c>
      <c r="U416" s="1586">
        <f t="shared" si="284"/>
        <v>0</v>
      </c>
      <c r="V416" s="1724">
        <f t="shared" si="270"/>
        <v>2.9449999999999998</v>
      </c>
      <c r="W416" s="1586">
        <f t="shared" si="271"/>
        <v>2.5</v>
      </c>
      <c r="X416" s="1724">
        <f t="shared" si="272"/>
        <v>2.9449999999999998</v>
      </c>
      <c r="Y416" s="1585">
        <f t="shared" si="273"/>
        <v>2.5</v>
      </c>
      <c r="AA416" s="125" t="s">
        <v>160</v>
      </c>
      <c r="AB416" s="1789"/>
      <c r="AC416" s="1961"/>
      <c r="AD416" s="1789"/>
      <c r="AE416" s="1597"/>
      <c r="AF416" s="1789"/>
      <c r="AG416" s="1681"/>
      <c r="AH416" s="1789">
        <f t="shared" si="281"/>
        <v>0</v>
      </c>
      <c r="AI416" s="1586">
        <f t="shared" si="274"/>
        <v>0</v>
      </c>
      <c r="AJ416" s="1789">
        <f t="shared" si="274"/>
        <v>0</v>
      </c>
      <c r="AK416" s="1585">
        <f t="shared" si="275"/>
        <v>0</v>
      </c>
      <c r="AM416" s="1944" t="s">
        <v>894</v>
      </c>
      <c r="AN416" s="1743">
        <f t="shared" si="276"/>
        <v>2.9449999999999998</v>
      </c>
      <c r="AO416" s="858">
        <f t="shared" si="277"/>
        <v>2.5</v>
      </c>
      <c r="AP416" s="2100" t="s">
        <v>160</v>
      </c>
      <c r="AQ416" s="1801">
        <f t="shared" si="278"/>
        <v>0</v>
      </c>
      <c r="AR416" s="856">
        <f t="shared" si="279"/>
        <v>0</v>
      </c>
    </row>
    <row r="417" spans="2:44">
      <c r="B417" s="359" t="s">
        <v>832</v>
      </c>
      <c r="C417" s="1099" t="s">
        <v>598</v>
      </c>
      <c r="D417" s="341"/>
      <c r="E417" s="192" t="s">
        <v>221</v>
      </c>
      <c r="F417" s="233">
        <v>15.55</v>
      </c>
      <c r="G417" s="275">
        <v>13.1</v>
      </c>
      <c r="H417" s="305" t="s">
        <v>222</v>
      </c>
      <c r="I417" s="233">
        <v>2.0000000000000001E-4</v>
      </c>
      <c r="J417" s="235">
        <v>2.0000000000000001E-4</v>
      </c>
      <c r="K417" s="249" t="s">
        <v>112</v>
      </c>
      <c r="L417" s="302">
        <v>5.61</v>
      </c>
      <c r="M417" s="323">
        <v>5.61</v>
      </c>
      <c r="O417" s="1944" t="s">
        <v>150</v>
      </c>
      <c r="P417" s="1724"/>
      <c r="Q417" s="1586"/>
      <c r="R417" s="1724">
        <f>I428</f>
        <v>148.80000000000001</v>
      </c>
      <c r="S417" s="1569">
        <f>J428</f>
        <v>103.61</v>
      </c>
      <c r="T417" s="1727"/>
      <c r="U417" s="1569"/>
      <c r="V417" s="1724">
        <f t="shared" si="270"/>
        <v>148.80000000000001</v>
      </c>
      <c r="W417" s="1586">
        <f t="shared" si="271"/>
        <v>103.61</v>
      </c>
      <c r="X417" s="1724">
        <f t="shared" si="272"/>
        <v>148.80000000000001</v>
      </c>
      <c r="Y417" s="1585">
        <f t="shared" si="273"/>
        <v>103.61</v>
      </c>
      <c r="AA417" s="125" t="s">
        <v>157</v>
      </c>
      <c r="AB417" s="2048">
        <f>F424</f>
        <v>67.8</v>
      </c>
      <c r="AC417" s="1961">
        <f>G424</f>
        <v>60</v>
      </c>
      <c r="AD417" s="1969"/>
      <c r="AE417" s="1598"/>
      <c r="AF417" s="1789"/>
      <c r="AG417" s="1681"/>
      <c r="AH417" s="1789">
        <f t="shared" si="281"/>
        <v>67.8</v>
      </c>
      <c r="AI417" s="1586">
        <f t="shared" si="274"/>
        <v>60</v>
      </c>
      <c r="AJ417" s="1789">
        <f t="shared" si="274"/>
        <v>0</v>
      </c>
      <c r="AK417" s="1585">
        <f t="shared" si="275"/>
        <v>0</v>
      </c>
      <c r="AM417" s="1944" t="s">
        <v>150</v>
      </c>
      <c r="AN417" s="1743">
        <f t="shared" si="276"/>
        <v>148.80000000000001</v>
      </c>
      <c r="AO417" s="858">
        <f t="shared" si="277"/>
        <v>103.61</v>
      </c>
      <c r="AP417" s="2100" t="s">
        <v>157</v>
      </c>
      <c r="AQ417" s="1801">
        <f t="shared" si="278"/>
        <v>67.8</v>
      </c>
      <c r="AR417" s="856">
        <f t="shared" si="279"/>
        <v>60</v>
      </c>
    </row>
    <row r="418" spans="2:44">
      <c r="B418" s="407" t="s">
        <v>490</v>
      </c>
      <c r="C418" s="283" t="s">
        <v>230</v>
      </c>
      <c r="D418" s="429">
        <v>200</v>
      </c>
      <c r="E418" s="192" t="s">
        <v>95</v>
      </c>
      <c r="F418" s="271">
        <v>2.2000000000000002</v>
      </c>
      <c r="G418" s="193">
        <v>2.2000000000000002</v>
      </c>
      <c r="H418" s="241" t="s">
        <v>97</v>
      </c>
      <c r="I418" s="251">
        <v>0.1</v>
      </c>
      <c r="J418" s="323">
        <v>0.1</v>
      </c>
      <c r="K418" s="192" t="s">
        <v>103</v>
      </c>
      <c r="L418" s="251">
        <v>8.94</v>
      </c>
      <c r="M418" s="255">
        <v>8.94</v>
      </c>
      <c r="O418" s="1944" t="s">
        <v>75</v>
      </c>
      <c r="P418" s="1724">
        <f>F413</f>
        <v>148.08000000000001</v>
      </c>
      <c r="Q418" s="1569">
        <f>G413</f>
        <v>120</v>
      </c>
      <c r="R418" s="1724"/>
      <c r="S418" s="1569"/>
      <c r="T418" s="1727">
        <f>F442</f>
        <v>58.728000000000002</v>
      </c>
      <c r="U418" s="1586">
        <f>G442</f>
        <v>48</v>
      </c>
      <c r="V418" s="1724">
        <f t="shared" si="270"/>
        <v>148.08000000000001</v>
      </c>
      <c r="W418" s="1586">
        <f t="shared" si="271"/>
        <v>120</v>
      </c>
      <c r="X418" s="1724">
        <f t="shared" si="272"/>
        <v>58.728000000000002</v>
      </c>
      <c r="Y418" s="1585">
        <f t="shared" si="273"/>
        <v>48</v>
      </c>
      <c r="AA418" s="125" t="s">
        <v>156</v>
      </c>
      <c r="AB418" s="444"/>
      <c r="AC418" s="1960"/>
      <c r="AD418" s="1789"/>
      <c r="AE418" s="1598"/>
      <c r="AF418" s="1789"/>
      <c r="AG418" s="1681"/>
      <c r="AH418" s="1789">
        <f t="shared" si="281"/>
        <v>0</v>
      </c>
      <c r="AI418" s="1586">
        <f t="shared" si="274"/>
        <v>0</v>
      </c>
      <c r="AJ418" s="1789">
        <f t="shared" si="274"/>
        <v>0</v>
      </c>
      <c r="AK418" s="1585">
        <f t="shared" si="275"/>
        <v>0</v>
      </c>
      <c r="AM418" s="1944" t="s">
        <v>75</v>
      </c>
      <c r="AN418" s="1743">
        <f t="shared" si="276"/>
        <v>206.80800000000002</v>
      </c>
      <c r="AO418" s="858">
        <f t="shared" si="277"/>
        <v>168</v>
      </c>
      <c r="AP418" s="2100" t="s">
        <v>156</v>
      </c>
      <c r="AQ418" s="1801">
        <f t="shared" si="278"/>
        <v>0</v>
      </c>
      <c r="AR418" s="856">
        <f t="shared" si="279"/>
        <v>0</v>
      </c>
    </row>
    <row r="419" spans="2:44" ht="15.75" thickBot="1">
      <c r="B419" s="1528" t="s">
        <v>14</v>
      </c>
      <c r="C419" s="167" t="s">
        <v>318</v>
      </c>
      <c r="D419" s="341"/>
      <c r="E419" s="192" t="s">
        <v>225</v>
      </c>
      <c r="F419" s="233" t="s">
        <v>991</v>
      </c>
      <c r="G419" s="275">
        <v>9.68</v>
      </c>
      <c r="H419" s="241" t="s">
        <v>221</v>
      </c>
      <c r="I419" s="233">
        <v>2.38</v>
      </c>
      <c r="J419" s="236">
        <v>2</v>
      </c>
      <c r="K419" s="241" t="s">
        <v>97</v>
      </c>
      <c r="L419" s="251">
        <v>1.24</v>
      </c>
      <c r="M419" s="323">
        <v>1.24</v>
      </c>
      <c r="O419" s="1049" t="s">
        <v>68</v>
      </c>
      <c r="P419" s="1724">
        <f>AB446</f>
        <v>57.2</v>
      </c>
      <c r="Q419" s="1600">
        <f>AC446</f>
        <v>57.2</v>
      </c>
      <c r="R419" s="1966">
        <f>I432+L428</f>
        <v>65.77</v>
      </c>
      <c r="S419" s="1586">
        <f>J432+M428</f>
        <v>65.099999999999994</v>
      </c>
      <c r="T419" s="1724">
        <f>I443</f>
        <v>3</v>
      </c>
      <c r="U419" s="2021">
        <f>J443</f>
        <v>3</v>
      </c>
      <c r="V419" s="1724">
        <f t="shared" si="270"/>
        <v>122.97</v>
      </c>
      <c r="W419" s="1586">
        <f t="shared" si="271"/>
        <v>122.3</v>
      </c>
      <c r="X419" s="1724">
        <f t="shared" si="272"/>
        <v>68.77</v>
      </c>
      <c r="Y419" s="1585">
        <f t="shared" si="273"/>
        <v>68.099999999999994</v>
      </c>
      <c r="AA419" s="2004" t="s">
        <v>209</v>
      </c>
      <c r="AB419" s="1779"/>
      <c r="AC419" s="2024"/>
      <c r="AD419" s="1790"/>
      <c r="AE419" s="2005"/>
      <c r="AF419" s="1790"/>
      <c r="AG419" s="2006"/>
      <c r="AH419" s="1790">
        <f t="shared" si="281"/>
        <v>0</v>
      </c>
      <c r="AI419" s="1590">
        <f t="shared" si="274"/>
        <v>0</v>
      </c>
      <c r="AJ419" s="1790">
        <f t="shared" si="274"/>
        <v>0</v>
      </c>
      <c r="AK419" s="1814">
        <f t="shared" si="275"/>
        <v>0</v>
      </c>
      <c r="AM419" s="1944" t="s">
        <v>68</v>
      </c>
      <c r="AN419" s="2091">
        <f>P419+R419+T419</f>
        <v>125.97</v>
      </c>
      <c r="AO419" s="858">
        <f t="shared" si="277"/>
        <v>125.3</v>
      </c>
      <c r="AP419" s="2145" t="s">
        <v>545</v>
      </c>
      <c r="AQ419" s="2146">
        <f t="shared" si="278"/>
        <v>0</v>
      </c>
      <c r="AR419" s="856">
        <f t="shared" si="279"/>
        <v>0</v>
      </c>
    </row>
    <row r="420" spans="2:44" ht="15.75" thickBot="1">
      <c r="B420" s="303" t="s">
        <v>10</v>
      </c>
      <c r="C420" s="167" t="s">
        <v>11</v>
      </c>
      <c r="D420" s="425">
        <v>40</v>
      </c>
      <c r="E420" s="500" t="s">
        <v>61</v>
      </c>
      <c r="F420" s="251">
        <v>0.66</v>
      </c>
      <c r="G420" s="481">
        <v>0.66</v>
      </c>
      <c r="H420" s="241" t="s">
        <v>95</v>
      </c>
      <c r="I420" s="233">
        <v>0.2</v>
      </c>
      <c r="J420" s="236">
        <v>0.2</v>
      </c>
      <c r="K420" s="892" t="s">
        <v>418</v>
      </c>
      <c r="L420" s="38"/>
      <c r="M420" s="291"/>
      <c r="O420" s="1049" t="s">
        <v>170</v>
      </c>
      <c r="P420" s="1724"/>
      <c r="Q420" s="1569"/>
      <c r="R420" s="1724"/>
      <c r="S420" s="1569"/>
      <c r="T420" s="1724"/>
      <c r="U420" s="1569"/>
      <c r="V420" s="1724">
        <f t="shared" si="270"/>
        <v>0</v>
      </c>
      <c r="W420" s="1586">
        <f t="shared" si="271"/>
        <v>0</v>
      </c>
      <c r="X420" s="1724">
        <f t="shared" si="272"/>
        <v>0</v>
      </c>
      <c r="Y420" s="1585">
        <f t="shared" si="273"/>
        <v>0</v>
      </c>
      <c r="AA420" s="2013" t="s">
        <v>96</v>
      </c>
      <c r="AB420" s="2084">
        <f t="shared" ref="AB420" si="285">SUM(AB405:AB419)</f>
        <v>119.36</v>
      </c>
      <c r="AC420" s="2049">
        <f>SUM(AC405:AC419)</f>
        <v>103.68</v>
      </c>
      <c r="AD420" s="1964">
        <f t="shared" ref="AD420" si="286">SUM(AD405:AD419)</f>
        <v>113.9</v>
      </c>
      <c r="AE420" s="2012">
        <f>SUM(AE405:AE419)</f>
        <v>85.6</v>
      </c>
      <c r="AF420" s="1964">
        <f>SUM(AF413:AF419)</f>
        <v>0</v>
      </c>
      <c r="AG420" s="2012">
        <f>SUM(AG413:AG419)</f>
        <v>0</v>
      </c>
      <c r="AH420" s="1964">
        <f>AB420+AD420</f>
        <v>233.26</v>
      </c>
      <c r="AI420" s="2015">
        <f>AC420+AE420</f>
        <v>189.28</v>
      </c>
      <c r="AJ420" s="1964">
        <f>AD420+AF420</f>
        <v>113.9</v>
      </c>
      <c r="AK420" s="1717">
        <f>SUM(AK405:AK419)</f>
        <v>85.6</v>
      </c>
      <c r="AM420" s="1944" t="s">
        <v>170</v>
      </c>
      <c r="AN420" s="1743">
        <f t="shared" ref="AN420:AN434" si="287">P420+R420+T420</f>
        <v>0</v>
      </c>
      <c r="AO420" s="857">
        <f t="shared" si="277"/>
        <v>0</v>
      </c>
      <c r="AP420" s="2013" t="s">
        <v>96</v>
      </c>
      <c r="AQ420" s="2142">
        <f>AB420+AD420+AF420</f>
        <v>233.26</v>
      </c>
      <c r="AR420" s="856">
        <f t="shared" si="279"/>
        <v>189.28</v>
      </c>
    </row>
    <row r="421" spans="2:44" ht="15.75" thickBot="1">
      <c r="B421" s="246" t="s">
        <v>10</v>
      </c>
      <c r="C421" s="241" t="s">
        <v>792</v>
      </c>
      <c r="D421" s="239">
        <v>30</v>
      </c>
      <c r="E421" s="500" t="s">
        <v>116</v>
      </c>
      <c r="F421" s="251">
        <v>5</v>
      </c>
      <c r="G421" s="481">
        <v>5</v>
      </c>
      <c r="H421" s="101"/>
      <c r="K421" s="307" t="s">
        <v>118</v>
      </c>
      <c r="L421" s="97" t="s">
        <v>119</v>
      </c>
      <c r="M421" s="135" t="s">
        <v>120</v>
      </c>
      <c r="O421" s="1049" t="s">
        <v>73</v>
      </c>
      <c r="P421" s="1724"/>
      <c r="Q421" s="1587"/>
      <c r="R421" s="1724"/>
      <c r="S421" s="1587"/>
      <c r="T421" s="1727"/>
      <c r="U421" s="1587"/>
      <c r="V421" s="1724">
        <f t="shared" si="270"/>
        <v>0</v>
      </c>
      <c r="W421" s="1586">
        <f t="shared" si="271"/>
        <v>0</v>
      </c>
      <c r="X421" s="1724">
        <f t="shared" si="272"/>
        <v>0</v>
      </c>
      <c r="Y421" s="1585">
        <f t="shared" si="273"/>
        <v>0</v>
      </c>
      <c r="AA421" s="2148" t="s">
        <v>166</v>
      </c>
      <c r="AB421" s="2105">
        <f>F417+F424+I419+L415+L416+L417</f>
        <v>119.35999999999999</v>
      </c>
      <c r="AC421" s="2157">
        <f>G417+G424+J419+M415+M416+M417</f>
        <v>103.67999999999999</v>
      </c>
      <c r="AD421" s="2107">
        <f>F429+F430+I429+L436+L437</f>
        <v>113.9</v>
      </c>
      <c r="AE421" s="2149">
        <f>G429+G430+J429+M436+M437</f>
        <v>85.6</v>
      </c>
      <c r="AF421" s="2109"/>
      <c r="AG421" s="2150"/>
      <c r="AH421" s="1825">
        <f t="shared" ref="AH421" si="288">AB421+AD421</f>
        <v>233.26</v>
      </c>
      <c r="AI421" s="2151"/>
      <c r="AJ421" s="1825">
        <f t="shared" ref="AJ421" si="289">AD421+AF421</f>
        <v>113.9</v>
      </c>
      <c r="AK421" s="2093"/>
      <c r="AM421" s="1944" t="s">
        <v>73</v>
      </c>
      <c r="AN421" s="1743">
        <f t="shared" si="287"/>
        <v>0</v>
      </c>
      <c r="AO421" s="857">
        <f t="shared" si="277"/>
        <v>0</v>
      </c>
      <c r="AP421" s="2104" t="s">
        <v>166</v>
      </c>
      <c r="AQ421" s="1800">
        <f t="shared" si="278"/>
        <v>233.26</v>
      </c>
      <c r="AR421" s="839"/>
    </row>
    <row r="422" spans="2:44" ht="15.75" thickBot="1">
      <c r="B422" s="61"/>
      <c r="C422" s="999"/>
      <c r="D422" s="71"/>
      <c r="E422" s="2565" t="s">
        <v>406</v>
      </c>
      <c r="F422" s="312"/>
      <c r="G422" s="1034"/>
      <c r="K422" s="100" t="s">
        <v>100</v>
      </c>
      <c r="L422" s="498">
        <v>20</v>
      </c>
      <c r="M422" s="499">
        <v>20</v>
      </c>
      <c r="O422" s="1049" t="s">
        <v>54</v>
      </c>
      <c r="P422" s="1724"/>
      <c r="Q422" s="1587"/>
      <c r="R422" s="1966">
        <f>I430</f>
        <v>5.0999999999999996</v>
      </c>
      <c r="S422" s="1587">
        <f>J430</f>
        <v>5</v>
      </c>
      <c r="T422" s="1724"/>
      <c r="U422" s="1587"/>
      <c r="V422" s="1724">
        <f t="shared" si="270"/>
        <v>5.0999999999999996</v>
      </c>
      <c r="W422" s="1586">
        <f t="shared" si="271"/>
        <v>5</v>
      </c>
      <c r="X422" s="1724">
        <f t="shared" si="272"/>
        <v>5.0999999999999996</v>
      </c>
      <c r="Y422" s="1585">
        <f t="shared" si="273"/>
        <v>5</v>
      </c>
      <c r="AA422" s="2094" t="s">
        <v>878</v>
      </c>
      <c r="AB422" s="2095"/>
      <c r="AC422" s="2096"/>
      <c r="AD422" s="1778"/>
      <c r="AE422" s="1815"/>
      <c r="AF422" s="1778"/>
      <c r="AG422" s="2097"/>
      <c r="AH422" s="1788"/>
      <c r="AI422" s="2098"/>
      <c r="AJ422" s="1788"/>
      <c r="AK422" s="1603"/>
      <c r="AM422" s="1944" t="s">
        <v>54</v>
      </c>
      <c r="AN422" s="1743">
        <f t="shared" si="287"/>
        <v>5.0999999999999996</v>
      </c>
      <c r="AO422" s="1047">
        <f t="shared" si="277"/>
        <v>5</v>
      </c>
      <c r="AP422" s="2118" t="s">
        <v>878</v>
      </c>
      <c r="AQ422" s="1839">
        <f>AB422+AD422+AF422</f>
        <v>0</v>
      </c>
      <c r="AR422" s="752">
        <f>AC422+AE422+AG422</f>
        <v>0</v>
      </c>
    </row>
    <row r="423" spans="2:44" ht="15.75" thickBot="1">
      <c r="B423" s="61"/>
      <c r="C423" s="999"/>
      <c r="D423" s="71"/>
      <c r="E423" s="263" t="s">
        <v>118</v>
      </c>
      <c r="F423" s="97" t="s">
        <v>119</v>
      </c>
      <c r="G423" s="135" t="s">
        <v>120</v>
      </c>
      <c r="H423" s="176"/>
      <c r="K423" s="185" t="s">
        <v>57</v>
      </c>
      <c r="L423" s="233">
        <v>10</v>
      </c>
      <c r="M423" s="235">
        <v>10</v>
      </c>
      <c r="O423" s="1049" t="s">
        <v>78</v>
      </c>
      <c r="P423" s="1966">
        <f>I414</f>
        <v>2.2999999999999998</v>
      </c>
      <c r="Q423" s="1630">
        <f>J414</f>
        <v>2.2999999999999998</v>
      </c>
      <c r="R423" s="1724"/>
      <c r="S423" s="1587"/>
      <c r="T423" s="1724">
        <f>I442</f>
        <v>2.4500000000000002</v>
      </c>
      <c r="U423" s="1587">
        <f>J442</f>
        <v>2.4500000000000002</v>
      </c>
      <c r="V423" s="1724">
        <f t="shared" si="270"/>
        <v>2.2999999999999998</v>
      </c>
      <c r="W423" s="1586">
        <f t="shared" si="271"/>
        <v>2.2999999999999998</v>
      </c>
      <c r="X423" s="1724">
        <f t="shared" si="272"/>
        <v>2.4500000000000002</v>
      </c>
      <c r="Y423" s="1585">
        <f t="shared" si="273"/>
        <v>2.4500000000000002</v>
      </c>
      <c r="AA423" s="1873" t="s">
        <v>879</v>
      </c>
      <c r="AB423" s="1777"/>
      <c r="AC423" s="1878"/>
      <c r="AD423" s="1680">
        <f>I438</f>
        <v>124.85</v>
      </c>
      <c r="AE423" s="1882">
        <f>J438</f>
        <v>110</v>
      </c>
      <c r="AF423" s="1789"/>
      <c r="AG423" s="1886"/>
      <c r="AH423" s="1789">
        <f t="shared" ref="AH423:AH427" si="290">AB423+AD423</f>
        <v>124.85</v>
      </c>
      <c r="AI423" s="1890">
        <f>AC423+AE423</f>
        <v>110</v>
      </c>
      <c r="AJ423" s="1789">
        <f t="shared" ref="AJ423:AJ446" si="291">AD423+AF423</f>
        <v>124.85</v>
      </c>
      <c r="AK423" s="1893">
        <f>AE423+AG423</f>
        <v>110</v>
      </c>
      <c r="AM423" s="1944" t="s">
        <v>78</v>
      </c>
      <c r="AN423" s="1743">
        <f t="shared" si="287"/>
        <v>4.75</v>
      </c>
      <c r="AO423" s="1047">
        <f t="shared" si="277"/>
        <v>4.75</v>
      </c>
      <c r="AP423" s="1660" t="s">
        <v>879</v>
      </c>
      <c r="AQ423" s="1840">
        <f>AB423+AD423+AF423</f>
        <v>124.85</v>
      </c>
      <c r="AR423" s="1667">
        <f>AC423+AE423+AG423</f>
        <v>110</v>
      </c>
    </row>
    <row r="424" spans="2:44">
      <c r="B424" s="61"/>
      <c r="C424" s="999"/>
      <c r="D424" s="71"/>
      <c r="E424" s="83" t="s">
        <v>492</v>
      </c>
      <c r="F424" s="326">
        <v>67.8</v>
      </c>
      <c r="G424" s="408">
        <v>60</v>
      </c>
      <c r="H424" s="176"/>
      <c r="K424" s="248" t="s">
        <v>420</v>
      </c>
      <c r="L424" s="498">
        <v>0.2</v>
      </c>
      <c r="M424" s="499">
        <v>0.2</v>
      </c>
      <c r="O424" s="1049" t="s">
        <v>95</v>
      </c>
      <c r="P424" s="1966">
        <f>F418+I420</f>
        <v>2.4000000000000004</v>
      </c>
      <c r="Q424" s="1586">
        <f>G418+J420</f>
        <v>2.4000000000000004</v>
      </c>
      <c r="R424" s="1724">
        <f>F431+I433+I434+L429</f>
        <v>20.72</v>
      </c>
      <c r="S424" s="1586">
        <f>G431+J433+J434+M429</f>
        <v>20.72</v>
      </c>
      <c r="T424" s="1724">
        <f>F444+F445+F449+I448</f>
        <v>6.7</v>
      </c>
      <c r="U424" s="1586">
        <f>G444+G445+G449+J448</f>
        <v>6.7</v>
      </c>
      <c r="V424" s="1724">
        <f t="shared" si="270"/>
        <v>23.119999999999997</v>
      </c>
      <c r="W424" s="1586">
        <f t="shared" si="271"/>
        <v>23.119999999999997</v>
      </c>
      <c r="X424" s="1724">
        <f t="shared" si="272"/>
        <v>27.419999999999998</v>
      </c>
      <c r="Y424" s="1585">
        <f t="shared" si="273"/>
        <v>27.419999999999998</v>
      </c>
      <c r="AA424" s="1874" t="s">
        <v>880</v>
      </c>
      <c r="AB424" s="1782"/>
      <c r="AC424" s="1879"/>
      <c r="AD424" s="444"/>
      <c r="AE424" s="1883"/>
      <c r="AF424" s="1793"/>
      <c r="AG424" s="1887"/>
      <c r="AH424" s="1789">
        <f t="shared" si="290"/>
        <v>0</v>
      </c>
      <c r="AI424" s="1890">
        <f>AC424+AE424</f>
        <v>0</v>
      </c>
      <c r="AJ424" s="1789">
        <f t="shared" si="291"/>
        <v>0</v>
      </c>
      <c r="AK424" s="1893">
        <f>AE424+AG424</f>
        <v>0</v>
      </c>
      <c r="AM424" s="1944" t="s">
        <v>95</v>
      </c>
      <c r="AN424" s="1743">
        <f t="shared" si="287"/>
        <v>29.819999999999997</v>
      </c>
      <c r="AO424" s="1047">
        <f t="shared" si="277"/>
        <v>29.819999999999997</v>
      </c>
      <c r="AP424" s="1661" t="s">
        <v>880</v>
      </c>
      <c r="AQ424" s="1840">
        <f t="shared" ref="AQ424:AQ426" si="292">AB424+AD424+AF424</f>
        <v>0</v>
      </c>
      <c r="AR424" s="1667">
        <f t="shared" ref="AR424:AR426" si="293">AC424+AE424+AG424</f>
        <v>0</v>
      </c>
    </row>
    <row r="425" spans="2:44" ht="15.75" thickBot="1">
      <c r="B425" s="1139" t="s">
        <v>582</v>
      </c>
      <c r="C425" s="1136"/>
      <c r="D425" s="1137">
        <f>D413+D414+D418+D420+D421+110+10</f>
        <v>645</v>
      </c>
      <c r="E425" s="237"/>
      <c r="F425" s="232"/>
      <c r="G425" s="191"/>
      <c r="H425" s="29"/>
      <c r="I425" s="29"/>
      <c r="J425" s="29"/>
      <c r="K425" s="249" t="s">
        <v>94</v>
      </c>
      <c r="L425" s="251">
        <v>190</v>
      </c>
      <c r="M425" s="255">
        <v>190</v>
      </c>
      <c r="O425" s="1049" t="s">
        <v>103</v>
      </c>
      <c r="P425" s="1724">
        <f>F414+L418</f>
        <v>15.54</v>
      </c>
      <c r="Q425" s="1569">
        <f>G414+M418</f>
        <v>15.54</v>
      </c>
      <c r="R425" s="1724">
        <f>L439</f>
        <v>3</v>
      </c>
      <c r="S425" s="1569">
        <f>M439</f>
        <v>3</v>
      </c>
      <c r="T425" s="1724"/>
      <c r="U425" s="1569"/>
      <c r="V425" s="1724">
        <f t="shared" si="270"/>
        <v>18.54</v>
      </c>
      <c r="W425" s="1586">
        <f t="shared" si="271"/>
        <v>18.54</v>
      </c>
      <c r="X425" s="1724">
        <f t="shared" si="272"/>
        <v>3</v>
      </c>
      <c r="Y425" s="1585">
        <f t="shared" si="273"/>
        <v>3</v>
      </c>
      <c r="AA425" s="1875" t="s">
        <v>881</v>
      </c>
      <c r="AB425" s="1782"/>
      <c r="AC425" s="1879"/>
      <c r="AD425" s="444"/>
      <c r="AE425" s="1883"/>
      <c r="AF425" s="1789"/>
      <c r="AG425" s="1887"/>
      <c r="AH425" s="1789">
        <f t="shared" si="290"/>
        <v>0</v>
      </c>
      <c r="AI425" s="1890">
        <f>AC425+AE425</f>
        <v>0</v>
      </c>
      <c r="AJ425" s="1789">
        <f t="shared" si="291"/>
        <v>0</v>
      </c>
      <c r="AK425" s="1893">
        <f>AE425+AG425</f>
        <v>0</v>
      </c>
      <c r="AM425" s="1944" t="s">
        <v>103</v>
      </c>
      <c r="AN425" s="1743">
        <f t="shared" si="287"/>
        <v>18.54</v>
      </c>
      <c r="AO425" s="1047">
        <f t="shared" si="277"/>
        <v>18.54</v>
      </c>
      <c r="AP425" s="1662" t="s">
        <v>881</v>
      </c>
      <c r="AQ425" s="1840">
        <f t="shared" si="292"/>
        <v>0</v>
      </c>
      <c r="AR425" s="1667">
        <f t="shared" si="293"/>
        <v>0</v>
      </c>
    </row>
    <row r="426" spans="2:44" ht="15.75" thickBot="1">
      <c r="B426" s="403"/>
      <c r="C426" s="162" t="s">
        <v>152</v>
      </c>
      <c r="D426" s="54"/>
      <c r="E426" s="2565" t="s">
        <v>621</v>
      </c>
      <c r="F426" s="38"/>
      <c r="G426" s="50"/>
      <c r="H426" s="906" t="s">
        <v>216</v>
      </c>
      <c r="I426" s="68"/>
      <c r="J426" s="54"/>
      <c r="K426" s="875"/>
      <c r="L426" s="68"/>
      <c r="M426" s="54"/>
      <c r="N426" s="1"/>
      <c r="O426" s="1049" t="s">
        <v>906</v>
      </c>
      <c r="P426" s="1979">
        <f>Q426/1000/0.04</f>
        <v>0.24199999999999999</v>
      </c>
      <c r="Q426" s="1586">
        <f>G419</f>
        <v>9.68</v>
      </c>
      <c r="R426" s="1724"/>
      <c r="S426" s="1586"/>
      <c r="T426" s="1979"/>
      <c r="U426" s="1586"/>
      <c r="V426" s="1724">
        <f t="shared" si="270"/>
        <v>0.24199999999999999</v>
      </c>
      <c r="W426" s="1586">
        <f t="shared" si="271"/>
        <v>9.68</v>
      </c>
      <c r="X426" s="1724">
        <f t="shared" si="272"/>
        <v>0</v>
      </c>
      <c r="Y426" s="1585">
        <f t="shared" si="273"/>
        <v>0</v>
      </c>
      <c r="AA426" s="1876" t="s">
        <v>882</v>
      </c>
      <c r="AB426" s="1783"/>
      <c r="AC426" s="1880"/>
      <c r="AD426" s="1779"/>
      <c r="AE426" s="1884"/>
      <c r="AF426" s="1790">
        <f>L449</f>
        <v>0</v>
      </c>
      <c r="AG426" s="1888">
        <f>M449</f>
        <v>0</v>
      </c>
      <c r="AH426" s="1790">
        <f t="shared" si="290"/>
        <v>0</v>
      </c>
      <c r="AI426" s="1891"/>
      <c r="AJ426" s="1812">
        <f t="shared" si="291"/>
        <v>0</v>
      </c>
      <c r="AK426" s="2046"/>
      <c r="AM426" s="1944" t="s">
        <v>162</v>
      </c>
      <c r="AN426" s="1743">
        <f t="shared" si="287"/>
        <v>0.24199999999999999</v>
      </c>
      <c r="AO426" s="1047">
        <f t="shared" si="277"/>
        <v>9.68</v>
      </c>
      <c r="AP426" s="1707" t="s">
        <v>882</v>
      </c>
      <c r="AQ426" s="1840">
        <f t="shared" si="292"/>
        <v>0</v>
      </c>
      <c r="AR426" s="1667">
        <f t="shared" si="293"/>
        <v>0</v>
      </c>
    </row>
    <row r="427" spans="2:44" ht="15.75" thickBot="1">
      <c r="B427" s="477" t="s">
        <v>335</v>
      </c>
      <c r="C427" s="256" t="s">
        <v>971</v>
      </c>
      <c r="D427" s="410">
        <v>60</v>
      </c>
      <c r="E427" s="263" t="s">
        <v>118</v>
      </c>
      <c r="F427" s="97" t="s">
        <v>119</v>
      </c>
      <c r="G427" s="135" t="s">
        <v>120</v>
      </c>
      <c r="H427" s="307" t="s">
        <v>118</v>
      </c>
      <c r="I427" s="102" t="s">
        <v>119</v>
      </c>
      <c r="J427" s="133" t="s">
        <v>120</v>
      </c>
      <c r="K427" s="307" t="s">
        <v>118</v>
      </c>
      <c r="L427" s="102" t="s">
        <v>119</v>
      </c>
      <c r="M427" s="133" t="s">
        <v>120</v>
      </c>
      <c r="O427" s="1049" t="s">
        <v>57</v>
      </c>
      <c r="P427" s="2059">
        <f>L423</f>
        <v>10</v>
      </c>
      <c r="Q427" s="1600">
        <f>M423</f>
        <v>10</v>
      </c>
      <c r="R427" s="1724">
        <f>L438</f>
        <v>3</v>
      </c>
      <c r="S427" s="1600">
        <f>M438</f>
        <v>3</v>
      </c>
      <c r="T427" s="1724">
        <f>L443</f>
        <v>5</v>
      </c>
      <c r="U427" s="1600">
        <f>M443</f>
        <v>5</v>
      </c>
      <c r="V427" s="1724">
        <f t="shared" si="270"/>
        <v>13</v>
      </c>
      <c r="W427" s="1586">
        <f t="shared" si="271"/>
        <v>13</v>
      </c>
      <c r="X427" s="1724">
        <f t="shared" si="272"/>
        <v>8</v>
      </c>
      <c r="Y427" s="1585">
        <f t="shared" si="273"/>
        <v>8</v>
      </c>
      <c r="AA427" s="1877" t="s">
        <v>883</v>
      </c>
      <c r="AB427" s="1896">
        <f>SUM(AB423:AB426)</f>
        <v>0</v>
      </c>
      <c r="AC427" s="1881">
        <f>AC423+AC424+AC425+AC426</f>
        <v>0</v>
      </c>
      <c r="AD427" s="1968">
        <f>AD423+AD424+AD425+AD426</f>
        <v>124.85</v>
      </c>
      <c r="AE427" s="1885">
        <f>AE423+AE424+AE425+AE426</f>
        <v>110</v>
      </c>
      <c r="AF427" s="1898">
        <f>SUM(AF423:AF426)</f>
        <v>0</v>
      </c>
      <c r="AG427" s="1889">
        <f>SUM(AG423:AG426)</f>
        <v>0</v>
      </c>
      <c r="AH427" s="1898">
        <f t="shared" si="290"/>
        <v>124.85</v>
      </c>
      <c r="AI427" s="1892">
        <f>AC427+AE427</f>
        <v>110</v>
      </c>
      <c r="AJ427" s="1898">
        <f t="shared" si="291"/>
        <v>124.85</v>
      </c>
      <c r="AK427" s="1895">
        <f>AE427+AG427</f>
        <v>110</v>
      </c>
      <c r="AM427" s="1944" t="s">
        <v>57</v>
      </c>
      <c r="AN427" s="1743">
        <f t="shared" si="287"/>
        <v>18</v>
      </c>
      <c r="AO427" s="1047">
        <f t="shared" si="277"/>
        <v>18</v>
      </c>
      <c r="AP427" s="1719" t="s">
        <v>883</v>
      </c>
      <c r="AQ427" s="2119">
        <f>AB427+AD427+AF427</f>
        <v>124.85</v>
      </c>
      <c r="AR427" s="2120">
        <f>AC427+AE427+AG427</f>
        <v>110</v>
      </c>
    </row>
    <row r="428" spans="2:44">
      <c r="B428" s="1522" t="s">
        <v>833</v>
      </c>
      <c r="C428" s="241" t="s">
        <v>621</v>
      </c>
      <c r="D428" s="419">
        <v>250</v>
      </c>
      <c r="E428" s="100" t="s">
        <v>315</v>
      </c>
      <c r="F428" s="177">
        <v>20</v>
      </c>
      <c r="G428" s="426">
        <v>20</v>
      </c>
      <c r="H428" s="100" t="s">
        <v>150</v>
      </c>
      <c r="I428" s="177">
        <v>148.80000000000001</v>
      </c>
      <c r="J428" s="827">
        <v>103.61</v>
      </c>
      <c r="K428" s="808" t="s">
        <v>93</v>
      </c>
      <c r="L428" s="177">
        <v>52.5</v>
      </c>
      <c r="M428" s="264">
        <v>52.5</v>
      </c>
      <c r="O428" s="1049" t="s">
        <v>171</v>
      </c>
      <c r="P428" s="1724"/>
      <c r="Q428" s="1569"/>
      <c r="R428" s="1724"/>
      <c r="S428" s="1569"/>
      <c r="T428" s="1724"/>
      <c r="U428" s="1569"/>
      <c r="V428" s="1724">
        <f t="shared" si="270"/>
        <v>0</v>
      </c>
      <c r="W428" s="1586">
        <f t="shared" si="271"/>
        <v>0</v>
      </c>
      <c r="X428" s="1724">
        <f t="shared" si="272"/>
        <v>0</v>
      </c>
      <c r="Y428" s="1585">
        <f t="shared" si="273"/>
        <v>0</v>
      </c>
      <c r="AA428" s="1702" t="s">
        <v>896</v>
      </c>
      <c r="AB428" s="1784"/>
      <c r="AC428" s="2140"/>
      <c r="AD428" s="1788"/>
      <c r="AE428" s="1704"/>
      <c r="AF428" s="1784"/>
      <c r="AG428" s="1703"/>
      <c r="AH428" s="1788"/>
      <c r="AI428" s="1769">
        <f>AC428+AE428</f>
        <v>0</v>
      </c>
      <c r="AJ428" s="1788">
        <f t="shared" si="291"/>
        <v>0</v>
      </c>
      <c r="AK428" s="1806">
        <f>AE428+AG428</f>
        <v>0</v>
      </c>
      <c r="AM428" s="1944" t="s">
        <v>171</v>
      </c>
      <c r="AN428" s="1743">
        <f t="shared" si="287"/>
        <v>0</v>
      </c>
      <c r="AO428" s="1047">
        <f t="shared" si="277"/>
        <v>0</v>
      </c>
      <c r="AP428" s="2121" t="s">
        <v>389</v>
      </c>
      <c r="AQ428" s="2122">
        <f t="shared" ref="AQ428:AQ429" si="294">AB428+AD428+AF428</f>
        <v>0</v>
      </c>
      <c r="AR428" s="2123">
        <f t="shared" ref="AR428:AR429" si="295">AC428+AE428+AG428</f>
        <v>0</v>
      </c>
    </row>
    <row r="429" spans="2:44" ht="15.75" thickBot="1">
      <c r="B429" s="156" t="s">
        <v>214</v>
      </c>
      <c r="C429" s="283" t="s">
        <v>435</v>
      </c>
      <c r="D429" s="166">
        <v>210</v>
      </c>
      <c r="E429" s="185" t="s">
        <v>79</v>
      </c>
      <c r="F429" s="256">
        <v>12.5</v>
      </c>
      <c r="G429" s="267">
        <v>10</v>
      </c>
      <c r="H429" s="185" t="s">
        <v>130</v>
      </c>
      <c r="I429" s="256">
        <v>12.84</v>
      </c>
      <c r="J429" s="482">
        <v>11</v>
      </c>
      <c r="K429" s="851" t="s">
        <v>95</v>
      </c>
      <c r="L429" s="256">
        <v>5.78</v>
      </c>
      <c r="M429" s="257">
        <v>5.78</v>
      </c>
      <c r="O429" s="1049" t="s">
        <v>59</v>
      </c>
      <c r="P429" s="1724"/>
      <c r="Q429" s="1569"/>
      <c r="R429" s="1724"/>
      <c r="S429" s="1569"/>
      <c r="T429" s="1724"/>
      <c r="U429" s="1569"/>
      <c r="V429" s="1724">
        <f t="shared" si="270"/>
        <v>0</v>
      </c>
      <c r="W429" s="1586">
        <f t="shared" si="271"/>
        <v>0</v>
      </c>
      <c r="X429" s="1724">
        <f t="shared" si="272"/>
        <v>0</v>
      </c>
      <c r="Y429" s="1585">
        <f t="shared" si="273"/>
        <v>0</v>
      </c>
      <c r="AA429" s="1692" t="s">
        <v>897</v>
      </c>
      <c r="AB429" s="1783"/>
      <c r="AC429" s="1693"/>
      <c r="AD429" s="1790"/>
      <c r="AE429" s="2061"/>
      <c r="AF429" s="1783"/>
      <c r="AG429" s="1693"/>
      <c r="AH429" s="1790">
        <f t="shared" ref="AH429:AH446" si="296">AB429+AD429</f>
        <v>0</v>
      </c>
      <c r="AI429" s="1770">
        <f>AC429+AE429</f>
        <v>0</v>
      </c>
      <c r="AJ429" s="1790">
        <f t="shared" si="291"/>
        <v>0</v>
      </c>
      <c r="AK429" s="1807">
        <f>AE429+AG429</f>
        <v>0</v>
      </c>
      <c r="AM429" s="1944" t="s">
        <v>59</v>
      </c>
      <c r="AN429" s="1743">
        <f t="shared" si="287"/>
        <v>0</v>
      </c>
      <c r="AO429" s="1047">
        <f t="shared" si="277"/>
        <v>0</v>
      </c>
      <c r="AP429" s="1692" t="s">
        <v>188</v>
      </c>
      <c r="AQ429" s="1840">
        <f t="shared" si="294"/>
        <v>0</v>
      </c>
      <c r="AR429" s="1667">
        <f t="shared" si="295"/>
        <v>0</v>
      </c>
    </row>
    <row r="430" spans="2:44" ht="15.75" thickBot="1">
      <c r="B430" s="61"/>
      <c r="C430" s="1099" t="s">
        <v>215</v>
      </c>
      <c r="D430" s="71"/>
      <c r="E430" s="185" t="s">
        <v>130</v>
      </c>
      <c r="F430" s="256">
        <v>12</v>
      </c>
      <c r="G430" s="267">
        <v>10</v>
      </c>
      <c r="H430" s="486" t="s">
        <v>436</v>
      </c>
      <c r="I430" s="233">
        <v>5.0999999999999996</v>
      </c>
      <c r="J430" s="310">
        <v>5</v>
      </c>
      <c r="K430" s="851" t="s">
        <v>49</v>
      </c>
      <c r="L430" s="233">
        <v>5.78</v>
      </c>
      <c r="M430" s="235">
        <v>5.78</v>
      </c>
      <c r="O430" s="1049" t="s">
        <v>169</v>
      </c>
      <c r="P430" s="1724"/>
      <c r="Q430" s="1569"/>
      <c r="R430" s="1724"/>
      <c r="S430" s="1569"/>
      <c r="T430" s="1724"/>
      <c r="U430" s="1569"/>
      <c r="V430" s="1724">
        <f t="shared" si="270"/>
        <v>0</v>
      </c>
      <c r="W430" s="1586">
        <f t="shared" si="271"/>
        <v>0</v>
      </c>
      <c r="X430" s="1724">
        <f t="shared" si="272"/>
        <v>0</v>
      </c>
      <c r="Y430" s="1585">
        <f t="shared" si="273"/>
        <v>0</v>
      </c>
      <c r="AA430" s="1721" t="s">
        <v>876</v>
      </c>
      <c r="AB430" s="1867">
        <f t="shared" ref="AB430" si="297">SUM(AB428:AB429)</f>
        <v>0</v>
      </c>
      <c r="AC430" s="2056">
        <f t="shared" ref="AC430" si="298">SUM(AC428:AC429)</f>
        <v>0</v>
      </c>
      <c r="AD430" s="1865">
        <f t="shared" ref="AD430" si="299">SUM(AD428:AD429)</f>
        <v>0</v>
      </c>
      <c r="AE430" s="1698">
        <f t="shared" ref="AE430" si="300">SUM(AE428:AE429)</f>
        <v>0</v>
      </c>
      <c r="AF430" s="1867">
        <f t="shared" ref="AF430" si="301">SUM(AF428:AF429)</f>
        <v>0</v>
      </c>
      <c r="AG430" s="1866">
        <f t="shared" ref="AG430" si="302">SUM(AG428:AG429)</f>
        <v>0</v>
      </c>
      <c r="AH430" s="1796">
        <f t="shared" si="296"/>
        <v>0</v>
      </c>
      <c r="AI430" s="1771">
        <f>AC430+AE430</f>
        <v>0</v>
      </c>
      <c r="AJ430" s="1796">
        <f t="shared" si="291"/>
        <v>0</v>
      </c>
      <c r="AK430" s="1699">
        <f>AE430+AG430</f>
        <v>0</v>
      </c>
      <c r="AM430" s="1944" t="s">
        <v>169</v>
      </c>
      <c r="AN430" s="1743">
        <f t="shared" si="287"/>
        <v>0</v>
      </c>
      <c r="AO430" s="1047">
        <f t="shared" si="277"/>
        <v>0</v>
      </c>
      <c r="AP430" s="1721" t="s">
        <v>876</v>
      </c>
      <c r="AQ430" s="2124">
        <f>AB430+AD430+AF430</f>
        <v>0</v>
      </c>
      <c r="AR430" s="2125">
        <f>AC430+AE430+AG430</f>
        <v>0</v>
      </c>
    </row>
    <row r="431" spans="2:44">
      <c r="B431" s="246" t="s">
        <v>9</v>
      </c>
      <c r="C431" s="241" t="s">
        <v>596</v>
      </c>
      <c r="D431" s="239">
        <v>200</v>
      </c>
      <c r="E431" s="185" t="s">
        <v>95</v>
      </c>
      <c r="F431" s="256">
        <v>5</v>
      </c>
      <c r="G431" s="267">
        <v>5</v>
      </c>
      <c r="H431" s="185" t="s">
        <v>52</v>
      </c>
      <c r="I431" s="233">
        <v>95.76</v>
      </c>
      <c r="J431" s="917">
        <v>71.819999999999993</v>
      </c>
      <c r="K431" s="241" t="s">
        <v>227</v>
      </c>
      <c r="L431" s="233">
        <v>1.0499999999999999E-3</v>
      </c>
      <c r="M431" s="236">
        <v>1.0499999999999999E-3</v>
      </c>
      <c r="O431" s="1049" t="s">
        <v>168</v>
      </c>
      <c r="P431" s="1724"/>
      <c r="Q431" s="1569"/>
      <c r="R431" s="1724"/>
      <c r="S431" s="1569"/>
      <c r="T431" s="1724"/>
      <c r="U431" s="1569"/>
      <c r="V431" s="1724">
        <f t="shared" si="270"/>
        <v>0</v>
      </c>
      <c r="W431" s="1586">
        <f t="shared" si="271"/>
        <v>0</v>
      </c>
      <c r="X431" s="1724">
        <f t="shared" si="272"/>
        <v>0</v>
      </c>
      <c r="Y431" s="1585">
        <f t="shared" si="273"/>
        <v>0</v>
      </c>
      <c r="AA431" s="1843" t="s">
        <v>387</v>
      </c>
      <c r="AB431" s="1900"/>
      <c r="AC431" s="1901"/>
      <c r="AD431" s="1899"/>
      <c r="AE431" s="1846"/>
      <c r="AF431" s="1900"/>
      <c r="AG431" s="1901"/>
      <c r="AH431" s="1788">
        <f t="shared" si="296"/>
        <v>0</v>
      </c>
      <c r="AI431" s="1852"/>
      <c r="AJ431" s="1788">
        <f t="shared" si="291"/>
        <v>0</v>
      </c>
      <c r="AK431" s="1856"/>
      <c r="AM431" s="1944" t="s">
        <v>168</v>
      </c>
      <c r="AN431" s="1743">
        <f t="shared" si="287"/>
        <v>0</v>
      </c>
      <c r="AO431" s="1047">
        <f t="shared" si="277"/>
        <v>0</v>
      </c>
      <c r="AP431" s="2126" t="s">
        <v>387</v>
      </c>
      <c r="AQ431" s="2122">
        <f t="shared" ref="AQ431:AQ433" si="303">AB431+AD431+AF431</f>
        <v>0</v>
      </c>
      <c r="AR431" s="2123">
        <f t="shared" ref="AR431:AR433" si="304">AC431+AE431+AG431</f>
        <v>0</v>
      </c>
    </row>
    <row r="432" spans="2:44">
      <c r="B432" s="246" t="s">
        <v>10</v>
      </c>
      <c r="C432" s="241" t="s">
        <v>11</v>
      </c>
      <c r="D432" s="239">
        <v>60</v>
      </c>
      <c r="E432" s="270" t="s">
        <v>222</v>
      </c>
      <c r="F432" s="234">
        <v>0.01</v>
      </c>
      <c r="G432" s="308">
        <v>0.01</v>
      </c>
      <c r="H432" s="185" t="s">
        <v>93</v>
      </c>
      <c r="I432" s="233">
        <v>13.27</v>
      </c>
      <c r="J432" s="739">
        <v>12.6</v>
      </c>
      <c r="K432" s="192" t="s">
        <v>97</v>
      </c>
      <c r="L432" s="233">
        <v>0.52</v>
      </c>
      <c r="M432" s="247">
        <v>0.52</v>
      </c>
      <c r="O432" s="1049" t="s">
        <v>89</v>
      </c>
      <c r="P432" s="1724"/>
      <c r="Q432" s="1569"/>
      <c r="R432" s="1724"/>
      <c r="S432" s="1569"/>
      <c r="T432" s="1724"/>
      <c r="U432" s="1569"/>
      <c r="V432" s="1724">
        <f t="shared" si="270"/>
        <v>0</v>
      </c>
      <c r="W432" s="1586">
        <f t="shared" si="271"/>
        <v>0</v>
      </c>
      <c r="X432" s="1724">
        <f t="shared" si="272"/>
        <v>0</v>
      </c>
      <c r="Y432" s="1585">
        <f t="shared" si="273"/>
        <v>0</v>
      </c>
      <c r="AA432" s="1844" t="s">
        <v>121</v>
      </c>
      <c r="AB432" s="1902"/>
      <c r="AC432" s="1848"/>
      <c r="AD432" s="1965"/>
      <c r="AE432" s="1904"/>
      <c r="AF432" s="1902"/>
      <c r="AG432" s="1848"/>
      <c r="AH432" s="1789">
        <f t="shared" si="296"/>
        <v>0</v>
      </c>
      <c r="AI432" s="1853">
        <f>AC432+AE432</f>
        <v>0</v>
      </c>
      <c r="AJ432" s="1789">
        <f t="shared" si="291"/>
        <v>0</v>
      </c>
      <c r="AK432" s="1857">
        <f t="shared" ref="AK432:AK446" si="305">AE432+AG432</f>
        <v>0</v>
      </c>
      <c r="AM432" s="1944" t="s">
        <v>89</v>
      </c>
      <c r="AN432" s="1743">
        <f t="shared" si="287"/>
        <v>0</v>
      </c>
      <c r="AO432" s="1047">
        <f t="shared" si="277"/>
        <v>0</v>
      </c>
      <c r="AP432" s="1844" t="s">
        <v>121</v>
      </c>
      <c r="AQ432" s="1840">
        <f t="shared" si="303"/>
        <v>0</v>
      </c>
      <c r="AR432" s="1667">
        <f t="shared" si="304"/>
        <v>0</v>
      </c>
    </row>
    <row r="433" spans="2:48" ht="15.75" thickBot="1">
      <c r="B433" s="246" t="s">
        <v>10</v>
      </c>
      <c r="C433" s="241" t="s">
        <v>792</v>
      </c>
      <c r="D433" s="239">
        <v>50</v>
      </c>
      <c r="E433" s="270" t="s">
        <v>97</v>
      </c>
      <c r="F433" s="272">
        <v>1.1000000000000001</v>
      </c>
      <c r="G433" s="273">
        <v>1.1000000000000001</v>
      </c>
      <c r="H433" s="186" t="s">
        <v>124</v>
      </c>
      <c r="I433" s="233">
        <v>2.94</v>
      </c>
      <c r="J433" s="411">
        <v>2.94</v>
      </c>
      <c r="K433" s="965"/>
      <c r="L433" s="233"/>
      <c r="M433" s="235"/>
      <c r="O433" s="1049" t="s">
        <v>61</v>
      </c>
      <c r="P433" s="1724">
        <f>F420+I418+L419</f>
        <v>2</v>
      </c>
      <c r="Q433" s="1569">
        <f>G420+J418+M419</f>
        <v>2</v>
      </c>
      <c r="R433" s="1724">
        <f>F433+L432</f>
        <v>1.62</v>
      </c>
      <c r="S433" s="1569">
        <f>G433+M432</f>
        <v>1.62</v>
      </c>
      <c r="T433" s="1727">
        <f>F448+I447</f>
        <v>0.31</v>
      </c>
      <c r="U433" s="1569">
        <f>J447+G448</f>
        <v>0.31</v>
      </c>
      <c r="V433" s="1724">
        <f>P433+R433</f>
        <v>3.62</v>
      </c>
      <c r="W433" s="1586">
        <f t="shared" si="271"/>
        <v>3.62</v>
      </c>
      <c r="X433" s="1724">
        <f t="shared" si="272"/>
        <v>1.9300000000000002</v>
      </c>
      <c r="Y433" s="1585">
        <f t="shared" si="273"/>
        <v>1.9300000000000002</v>
      </c>
      <c r="AA433" s="1845" t="s">
        <v>388</v>
      </c>
      <c r="AB433" s="1903"/>
      <c r="AC433" s="1868"/>
      <c r="AD433" s="1870">
        <f>F435</f>
        <v>2.9449999999999998</v>
      </c>
      <c r="AE433" s="1905">
        <f>G435</f>
        <v>2.5</v>
      </c>
      <c r="AF433" s="1903"/>
      <c r="AG433" s="1868"/>
      <c r="AH433" s="1790">
        <f t="shared" si="296"/>
        <v>2.9449999999999998</v>
      </c>
      <c r="AI433" s="1854">
        <f>AC433+AE433</f>
        <v>2.5</v>
      </c>
      <c r="AJ433" s="1790">
        <f t="shared" si="291"/>
        <v>2.9449999999999998</v>
      </c>
      <c r="AK433" s="1858">
        <f t="shared" si="305"/>
        <v>2.5</v>
      </c>
      <c r="AM433" s="1944" t="s">
        <v>61</v>
      </c>
      <c r="AN433" s="1743">
        <f t="shared" si="287"/>
        <v>3.93</v>
      </c>
      <c r="AO433" s="1047">
        <f t="shared" si="277"/>
        <v>3.93</v>
      </c>
      <c r="AP433" s="1845" t="s">
        <v>388</v>
      </c>
      <c r="AQ433" s="1840">
        <f t="shared" si="303"/>
        <v>2.9449999999999998</v>
      </c>
      <c r="AR433" s="1667">
        <f t="shared" si="304"/>
        <v>2.5</v>
      </c>
    </row>
    <row r="434" spans="2:48" ht="15.75" thickBot="1">
      <c r="B434" s="266" t="s">
        <v>1004</v>
      </c>
      <c r="C434" s="241" t="s">
        <v>1009</v>
      </c>
      <c r="D434" s="284">
        <v>110</v>
      </c>
      <c r="E434" s="1073" t="s">
        <v>975</v>
      </c>
      <c r="F434" s="251">
        <v>250</v>
      </c>
      <c r="G434" s="268">
        <v>250</v>
      </c>
      <c r="H434" s="186" t="s">
        <v>124</v>
      </c>
      <c r="I434" s="233">
        <v>7</v>
      </c>
      <c r="J434" s="411">
        <v>7</v>
      </c>
      <c r="K434" s="2518" t="s">
        <v>971</v>
      </c>
      <c r="L434" s="38"/>
      <c r="M434" s="50"/>
      <c r="N434" s="740"/>
      <c r="O434" s="1049" t="s">
        <v>143</v>
      </c>
      <c r="P434" s="1724"/>
      <c r="Q434" s="1569"/>
      <c r="R434" s="1724"/>
      <c r="S434" s="1569"/>
      <c r="T434" s="1724">
        <f>F447</f>
        <v>4.8</v>
      </c>
      <c r="U434" s="1569">
        <f>G447</f>
        <v>4.8</v>
      </c>
      <c r="V434" s="1724">
        <f t="shared" si="270"/>
        <v>0</v>
      </c>
      <c r="W434" s="1586">
        <f t="shared" si="271"/>
        <v>0</v>
      </c>
      <c r="X434" s="1724">
        <f t="shared" si="272"/>
        <v>4.8</v>
      </c>
      <c r="Y434" s="1585">
        <f t="shared" si="273"/>
        <v>4.8</v>
      </c>
      <c r="AA434" s="1850" t="s">
        <v>875</v>
      </c>
      <c r="AB434" s="1871">
        <f t="shared" ref="AB434" si="306">AB431+AB432+AB433</f>
        <v>0</v>
      </c>
      <c r="AC434" s="1851">
        <f t="shared" ref="AC434" si="307">AC431+AC432+AC433</f>
        <v>0</v>
      </c>
      <c r="AD434" s="1871">
        <f t="shared" ref="AD434" si="308">AD431+AD432+AD433</f>
        <v>2.9449999999999998</v>
      </c>
      <c r="AE434" s="1851">
        <f t="shared" ref="AE434" si="309">AE431+AE432+AE433</f>
        <v>2.5</v>
      </c>
      <c r="AF434" s="1871">
        <f t="shared" ref="AF434" si="310">AF431+AF432+AF433</f>
        <v>0</v>
      </c>
      <c r="AG434" s="1851">
        <f t="shared" ref="AG434" si="311">AG431+AG432+AG433</f>
        <v>0</v>
      </c>
      <c r="AH434" s="1791">
        <f t="shared" si="296"/>
        <v>2.9449999999999998</v>
      </c>
      <c r="AI434" s="1855">
        <f>AC434+AE434</f>
        <v>2.5</v>
      </c>
      <c r="AJ434" s="1791">
        <f t="shared" si="291"/>
        <v>2.9449999999999998</v>
      </c>
      <c r="AK434" s="1859">
        <f t="shared" si="305"/>
        <v>2.5</v>
      </c>
      <c r="AM434" s="1944" t="s">
        <v>143</v>
      </c>
      <c r="AN434" s="1743">
        <f t="shared" si="287"/>
        <v>4.8</v>
      </c>
      <c r="AO434" s="1047">
        <f t="shared" si="277"/>
        <v>4.8</v>
      </c>
      <c r="AP434" s="1850" t="s">
        <v>875</v>
      </c>
      <c r="AQ434" s="2127">
        <f>AB434+AD434+AF434</f>
        <v>2.9449999999999998</v>
      </c>
      <c r="AR434" s="2128">
        <f>AC434+AE434+AG434</f>
        <v>2.5</v>
      </c>
    </row>
    <row r="435" spans="2:48" ht="15.75" thickBot="1">
      <c r="B435" s="61"/>
      <c r="C435" s="999"/>
      <c r="D435" s="71"/>
      <c r="E435" s="389" t="s">
        <v>311</v>
      </c>
      <c r="F435" s="233">
        <v>2.9449999999999998</v>
      </c>
      <c r="G435" s="236">
        <v>2.5</v>
      </c>
      <c r="H435" s="918"/>
      <c r="K435" s="263" t="s">
        <v>118</v>
      </c>
      <c r="L435" s="97" t="s">
        <v>119</v>
      </c>
      <c r="M435" s="470" t="s">
        <v>120</v>
      </c>
      <c r="N435" s="207"/>
      <c r="O435" s="1617" t="s">
        <v>229</v>
      </c>
      <c r="P435" s="1747">
        <f>P439+P438+P437+P436</f>
        <v>0.20020000000000002</v>
      </c>
      <c r="Q435" s="1576">
        <f>Q436+Q437+Q438+Q439</f>
        <v>0.20020000000000002</v>
      </c>
      <c r="R435" s="1911">
        <f>R436+R437+R438+R439</f>
        <v>1.1050000000000001E-2</v>
      </c>
      <c r="S435" s="1576">
        <f>S436+S437+S438+S439</f>
        <v>1.1050000000000001E-2</v>
      </c>
      <c r="T435" s="1747">
        <f>T436+T437+T438+T439</f>
        <v>0.20020000000000002</v>
      </c>
      <c r="U435" s="1576">
        <f>U436+U437+U438+U439</f>
        <v>0.20020000000000002</v>
      </c>
      <c r="V435" s="1912">
        <f>P435+R435</f>
        <v>0.21125000000000002</v>
      </c>
      <c r="W435" s="1586">
        <f t="shared" si="271"/>
        <v>0.21125000000000002</v>
      </c>
      <c r="X435" s="1979">
        <f>R435+T435</f>
        <v>0.21125000000000002</v>
      </c>
      <c r="Y435" s="1679">
        <f t="shared" si="273"/>
        <v>0.21125000000000002</v>
      </c>
      <c r="AA435" s="1695" t="s">
        <v>208</v>
      </c>
      <c r="AB435" s="1784"/>
      <c r="AC435" s="1696"/>
      <c r="AD435" s="1784"/>
      <c r="AE435" s="1697"/>
      <c r="AF435" s="1784"/>
      <c r="AG435" s="1758"/>
      <c r="AH435" s="1788">
        <f t="shared" si="296"/>
        <v>0</v>
      </c>
      <c r="AI435" s="1772">
        <f>AC435+AE435</f>
        <v>0</v>
      </c>
      <c r="AJ435" s="1788">
        <f t="shared" si="291"/>
        <v>0</v>
      </c>
      <c r="AK435" s="1603">
        <f t="shared" si="305"/>
        <v>0</v>
      </c>
      <c r="AM435" s="1948" t="s">
        <v>229</v>
      </c>
      <c r="AN435" s="2090">
        <f>P435+R435+T435</f>
        <v>0.41145000000000004</v>
      </c>
      <c r="AO435" s="1047">
        <f t="shared" si="277"/>
        <v>0.41145000000000004</v>
      </c>
      <c r="AP435" s="2129" t="s">
        <v>208</v>
      </c>
      <c r="AQ435" s="2122">
        <f t="shared" ref="AQ435:AQ442" si="312">AB435+AD435+AF435</f>
        <v>0</v>
      </c>
      <c r="AR435" s="2123">
        <f t="shared" ref="AR435:AR442" si="313">AC435+AE435+AG435</f>
        <v>0</v>
      </c>
    </row>
    <row r="436" spans="2:48" ht="15.75" thickBot="1">
      <c r="B436" s="61"/>
      <c r="C436" s="999"/>
      <c r="D436" s="71"/>
      <c r="E436" s="61"/>
      <c r="G436" s="71"/>
      <c r="H436" s="473" t="s">
        <v>1011</v>
      </c>
      <c r="I436" s="38"/>
      <c r="J436" s="50"/>
      <c r="K436" s="758" t="s">
        <v>336</v>
      </c>
      <c r="L436" s="256">
        <v>69.42</v>
      </c>
      <c r="M436" s="257">
        <v>48.6</v>
      </c>
      <c r="O436" s="1618" t="s">
        <v>222</v>
      </c>
      <c r="P436" s="1971">
        <f>I417</f>
        <v>2.0000000000000001E-4</v>
      </c>
      <c r="Q436" s="1572">
        <f>J417</f>
        <v>2.0000000000000001E-4</v>
      </c>
      <c r="R436" s="1971">
        <f>F432+L431</f>
        <v>1.1050000000000001E-2</v>
      </c>
      <c r="S436" s="1572">
        <f>G432+M431</f>
        <v>1.1050000000000001E-2</v>
      </c>
      <c r="T436" s="1971">
        <f>I446</f>
        <v>2.0000000000000001E-4</v>
      </c>
      <c r="U436" s="1572">
        <f>J446</f>
        <v>2.0000000000000001E-4</v>
      </c>
      <c r="V436" s="1775">
        <f>P436+R436</f>
        <v>1.1250000000000001E-2</v>
      </c>
      <c r="W436" s="1572"/>
      <c r="X436" s="1725">
        <f t="shared" si="272"/>
        <v>1.1250000000000001E-2</v>
      </c>
      <c r="Y436" s="1607"/>
      <c r="AA436" s="1663" t="s">
        <v>81</v>
      </c>
      <c r="AB436" s="1782"/>
      <c r="AC436" s="1599"/>
      <c r="AD436" s="1782"/>
      <c r="AE436" s="1670"/>
      <c r="AF436" s="1782"/>
      <c r="AG436" s="1682"/>
      <c r="AH436" s="1789">
        <f t="shared" si="296"/>
        <v>0</v>
      </c>
      <c r="AI436" s="1772">
        <f t="shared" ref="AI436:AI446" si="314">AC436+AE436</f>
        <v>0</v>
      </c>
      <c r="AJ436" s="1789">
        <f t="shared" si="291"/>
        <v>0</v>
      </c>
      <c r="AK436" s="1645">
        <f t="shared" si="305"/>
        <v>0</v>
      </c>
      <c r="AM436" s="1949" t="s">
        <v>222</v>
      </c>
      <c r="AN436" s="2076">
        <f t="shared" ref="AN436:AN439" si="315">P436+R436+T436</f>
        <v>1.1450000000000002E-2</v>
      </c>
      <c r="AO436" s="1594">
        <f t="shared" ref="AO436:AO439" si="316">Q436+S436+U436</f>
        <v>1.1450000000000002E-2</v>
      </c>
      <c r="AP436" s="1663" t="s">
        <v>81</v>
      </c>
      <c r="AQ436" s="1840">
        <f t="shared" si="312"/>
        <v>0</v>
      </c>
      <c r="AR436" s="1667">
        <f t="shared" si="313"/>
        <v>0</v>
      </c>
    </row>
    <row r="437" spans="2:48" ht="15.75" thickBot="1">
      <c r="B437" s="61"/>
      <c r="C437" s="999"/>
      <c r="D437" s="71"/>
      <c r="E437" s="61"/>
      <c r="G437" s="71"/>
      <c r="H437" s="281" t="s">
        <v>118</v>
      </c>
      <c r="I437" s="97" t="s">
        <v>119</v>
      </c>
      <c r="J437" s="135" t="s">
        <v>120</v>
      </c>
      <c r="K437" s="185" t="s">
        <v>221</v>
      </c>
      <c r="L437" s="256">
        <v>7.14</v>
      </c>
      <c r="M437" s="257">
        <v>6</v>
      </c>
      <c r="N437" s="517"/>
      <c r="O437" s="1619" t="s">
        <v>679</v>
      </c>
      <c r="P437" s="1972"/>
      <c r="Q437" s="1573"/>
      <c r="R437" s="1972"/>
      <c r="S437" s="1573"/>
      <c r="T437" s="1972"/>
      <c r="U437" s="1573"/>
      <c r="V437" s="1775">
        <f t="shared" ref="V437:V438" si="317">P437+R437</f>
        <v>0</v>
      </c>
      <c r="W437" s="1573"/>
      <c r="X437" s="1725">
        <f t="shared" si="272"/>
        <v>0</v>
      </c>
      <c r="Y437" s="1608"/>
      <c r="AA437" s="1663" t="s">
        <v>83</v>
      </c>
      <c r="AB437" s="1785"/>
      <c r="AC437" s="1639"/>
      <c r="AD437" s="1785"/>
      <c r="AE437" s="1671"/>
      <c r="AF437" s="1785"/>
      <c r="AG437" s="1759"/>
      <c r="AH437" s="1789">
        <f t="shared" si="296"/>
        <v>0</v>
      </c>
      <c r="AI437" s="1772">
        <f t="shared" si="314"/>
        <v>0</v>
      </c>
      <c r="AJ437" s="1789">
        <f t="shared" si="291"/>
        <v>0</v>
      </c>
      <c r="AK437" s="1645">
        <f t="shared" si="305"/>
        <v>0</v>
      </c>
      <c r="AM437" s="1950" t="s">
        <v>679</v>
      </c>
      <c r="AN437" s="2076">
        <f t="shared" si="315"/>
        <v>0</v>
      </c>
      <c r="AO437" s="1594">
        <f t="shared" si="316"/>
        <v>0</v>
      </c>
      <c r="AP437" s="1663" t="s">
        <v>83</v>
      </c>
      <c r="AQ437" s="1840">
        <f t="shared" si="312"/>
        <v>0</v>
      </c>
      <c r="AR437" s="1667">
        <f t="shared" si="313"/>
        <v>0</v>
      </c>
    </row>
    <row r="438" spans="2:48">
      <c r="B438" s="61"/>
      <c r="C438" s="999"/>
      <c r="D438" s="71"/>
      <c r="E438" s="61"/>
      <c r="G438" s="71"/>
      <c r="H438" s="100" t="s">
        <v>328</v>
      </c>
      <c r="I438" s="895">
        <v>124.85</v>
      </c>
      <c r="J438" s="131">
        <v>110</v>
      </c>
      <c r="K438" s="185" t="s">
        <v>57</v>
      </c>
      <c r="L438" s="233">
        <v>3</v>
      </c>
      <c r="M438" s="235">
        <v>3</v>
      </c>
      <c r="O438" s="1620" t="s">
        <v>449</v>
      </c>
      <c r="P438" s="1982"/>
      <c r="Q438" s="1574"/>
      <c r="R438" s="1730"/>
      <c r="S438" s="1574"/>
      <c r="T438" s="1982"/>
      <c r="U438" s="1574"/>
      <c r="V438" s="1775">
        <f t="shared" si="317"/>
        <v>0</v>
      </c>
      <c r="W438" s="1574"/>
      <c r="X438" s="1725">
        <f t="shared" si="272"/>
        <v>0</v>
      </c>
      <c r="Y438" s="1609"/>
      <c r="AA438" s="1663" t="s">
        <v>84</v>
      </c>
      <c r="AB438" s="1782"/>
      <c r="AC438" s="1639"/>
      <c r="AD438" s="1782"/>
      <c r="AE438" s="1671"/>
      <c r="AF438" s="1782"/>
      <c r="AG438" s="1759"/>
      <c r="AH438" s="1789">
        <f t="shared" si="296"/>
        <v>0</v>
      </c>
      <c r="AI438" s="1772">
        <f t="shared" si="314"/>
        <v>0</v>
      </c>
      <c r="AJ438" s="1789">
        <f t="shared" si="291"/>
        <v>0</v>
      </c>
      <c r="AK438" s="1645">
        <f t="shared" si="305"/>
        <v>0</v>
      </c>
      <c r="AM438" s="1951" t="s">
        <v>449</v>
      </c>
      <c r="AN438" s="2076">
        <f t="shared" si="315"/>
        <v>0</v>
      </c>
      <c r="AO438" s="1594">
        <f t="shared" si="316"/>
        <v>0</v>
      </c>
      <c r="AP438" s="1663" t="s">
        <v>84</v>
      </c>
      <c r="AQ438" s="1840">
        <f t="shared" si="312"/>
        <v>0</v>
      </c>
      <c r="AR438" s="1667">
        <f t="shared" si="313"/>
        <v>0</v>
      </c>
    </row>
    <row r="439" spans="2:48" ht="15.75" thickBot="1">
      <c r="B439" s="1139" t="s">
        <v>583</v>
      </c>
      <c r="C439" s="1197"/>
      <c r="D439" s="1137">
        <f>SUM(D426:D438)</f>
        <v>940</v>
      </c>
      <c r="E439" s="57"/>
      <c r="F439" s="29"/>
      <c r="G439" s="74"/>
      <c r="H439" s="57"/>
      <c r="I439" s="29"/>
      <c r="J439" s="29"/>
      <c r="K439" s="187" t="s">
        <v>103</v>
      </c>
      <c r="L439" s="200">
        <v>3</v>
      </c>
      <c r="M439" s="447">
        <v>3</v>
      </c>
      <c r="O439" s="1942" t="s">
        <v>167</v>
      </c>
      <c r="P439" s="1983">
        <f>L424</f>
        <v>0.2</v>
      </c>
      <c r="Q439" s="1574">
        <f>M424</f>
        <v>0.2</v>
      </c>
      <c r="R439" s="1725"/>
      <c r="S439" s="1574"/>
      <c r="T439" s="1983">
        <f>L444</f>
        <v>0.2</v>
      </c>
      <c r="U439" s="1574">
        <f>M444</f>
        <v>0.2</v>
      </c>
      <c r="V439" s="1976">
        <f>P439+R439</f>
        <v>0.2</v>
      </c>
      <c r="W439" s="1574"/>
      <c r="X439" s="1976">
        <f t="shared" si="272"/>
        <v>0.2</v>
      </c>
      <c r="Y439" s="1609"/>
      <c r="AA439" s="1663" t="s">
        <v>85</v>
      </c>
      <c r="AB439" s="1782"/>
      <c r="AC439" s="1599"/>
      <c r="AD439" s="1782"/>
      <c r="AE439" s="1670"/>
      <c r="AF439" s="1782"/>
      <c r="AG439" s="1682"/>
      <c r="AH439" s="1789">
        <f t="shared" si="296"/>
        <v>0</v>
      </c>
      <c r="AI439" s="1772">
        <f t="shared" si="314"/>
        <v>0</v>
      </c>
      <c r="AJ439" s="1789">
        <f t="shared" si="291"/>
        <v>0</v>
      </c>
      <c r="AK439" s="1645">
        <f t="shared" si="305"/>
        <v>0</v>
      </c>
      <c r="AM439" s="1953" t="s">
        <v>167</v>
      </c>
      <c r="AN439" s="2076">
        <f t="shared" si="315"/>
        <v>0.4</v>
      </c>
      <c r="AO439" s="1594">
        <f t="shared" si="316"/>
        <v>0.4</v>
      </c>
      <c r="AP439" s="1663" t="s">
        <v>85</v>
      </c>
      <c r="AQ439" s="1840">
        <f t="shared" si="312"/>
        <v>0</v>
      </c>
      <c r="AR439" s="1667">
        <f t="shared" si="313"/>
        <v>0</v>
      </c>
    </row>
    <row r="440" spans="2:48" ht="15.75" thickBot="1">
      <c r="B440" s="403"/>
      <c r="C440" s="162" t="s">
        <v>324</v>
      </c>
      <c r="D440" s="752"/>
      <c r="E440" s="980" t="s">
        <v>464</v>
      </c>
      <c r="F440" s="880"/>
      <c r="G440" s="312"/>
      <c r="H440" s="312"/>
      <c r="I440" s="312" t="s">
        <v>455</v>
      </c>
      <c r="J440" s="50"/>
      <c r="K440" s="892" t="s">
        <v>418</v>
      </c>
      <c r="L440" s="38"/>
      <c r="M440" s="291"/>
      <c r="O440" s="195" t="s">
        <v>116</v>
      </c>
      <c r="P440" s="2060">
        <f>F421</f>
        <v>5</v>
      </c>
      <c r="Q440" s="2022">
        <f>G421</f>
        <v>5</v>
      </c>
      <c r="R440" s="1610"/>
      <c r="S440" s="2022"/>
      <c r="T440" s="1610"/>
      <c r="U440" s="2022"/>
      <c r="V440" s="1837">
        <f>P440+R440</f>
        <v>5</v>
      </c>
      <c r="W440" s="2022"/>
      <c r="X440" s="1837">
        <f>R440+T440</f>
        <v>0</v>
      </c>
      <c r="Y440" s="1611"/>
      <c r="AA440" s="1663" t="s">
        <v>87</v>
      </c>
      <c r="AB440" s="2092"/>
      <c r="AC440" s="1640"/>
      <c r="AD440" s="1782"/>
      <c r="AE440" s="1670"/>
      <c r="AF440" s="1782"/>
      <c r="AG440" s="1682"/>
      <c r="AH440" s="1789">
        <f t="shared" si="296"/>
        <v>0</v>
      </c>
      <c r="AI440" s="1772">
        <f t="shared" si="314"/>
        <v>0</v>
      </c>
      <c r="AJ440" s="1789">
        <f t="shared" si="291"/>
        <v>0</v>
      </c>
      <c r="AK440" s="1645">
        <f t="shared" si="305"/>
        <v>0</v>
      </c>
      <c r="AM440" s="573" t="s">
        <v>116</v>
      </c>
      <c r="AN440" s="2078">
        <f>P440+R440+T440</f>
        <v>5</v>
      </c>
      <c r="AO440" s="857">
        <f>Q440+S440+U440</f>
        <v>5</v>
      </c>
      <c r="AP440" s="1663" t="s">
        <v>87</v>
      </c>
      <c r="AQ440" s="1840">
        <f t="shared" si="312"/>
        <v>0</v>
      </c>
      <c r="AR440" s="1667">
        <f t="shared" si="313"/>
        <v>0</v>
      </c>
    </row>
    <row r="441" spans="2:48" ht="15.75" thickBot="1">
      <c r="B441" s="156" t="s">
        <v>490</v>
      </c>
      <c r="C441" s="283" t="s">
        <v>230</v>
      </c>
      <c r="D441" s="429">
        <v>200</v>
      </c>
      <c r="E441" s="313" t="s">
        <v>118</v>
      </c>
      <c r="F441" s="97" t="s">
        <v>119</v>
      </c>
      <c r="G441" s="135" t="s">
        <v>120</v>
      </c>
      <c r="H441" s="313" t="s">
        <v>118</v>
      </c>
      <c r="I441" s="97" t="s">
        <v>119</v>
      </c>
      <c r="J441" s="135" t="s">
        <v>120</v>
      </c>
      <c r="K441" s="307" t="s">
        <v>118</v>
      </c>
      <c r="L441" s="102" t="s">
        <v>119</v>
      </c>
      <c r="M441" s="133" t="s">
        <v>120</v>
      </c>
      <c r="Q441" s="1570"/>
      <c r="S441" s="1570"/>
      <c r="U441" s="1570"/>
      <c r="W441" s="1570"/>
      <c r="Y441" s="1570"/>
      <c r="AA441" s="1663" t="s">
        <v>88</v>
      </c>
      <c r="AB441" s="1782"/>
      <c r="AC441" s="1599"/>
      <c r="AD441" s="1782">
        <f>F428</f>
        <v>20</v>
      </c>
      <c r="AE441" s="1670">
        <f>G428</f>
        <v>20</v>
      </c>
      <c r="AF441" s="1782"/>
      <c r="AG441" s="1682"/>
      <c r="AH441" s="1789">
        <f t="shared" si="296"/>
        <v>20</v>
      </c>
      <c r="AI441" s="1772">
        <f t="shared" si="314"/>
        <v>20</v>
      </c>
      <c r="AJ441" s="1789">
        <f t="shared" si="291"/>
        <v>20</v>
      </c>
      <c r="AK441" s="1645">
        <f t="shared" si="305"/>
        <v>20</v>
      </c>
      <c r="AP441" s="1663" t="s">
        <v>88</v>
      </c>
      <c r="AQ441" s="1840">
        <f t="shared" si="312"/>
        <v>20</v>
      </c>
      <c r="AR441" s="1667">
        <f t="shared" si="313"/>
        <v>20</v>
      </c>
    </row>
    <row r="442" spans="2:48" ht="15.75" thickBot="1">
      <c r="B442" s="359" t="s">
        <v>14</v>
      </c>
      <c r="C442" s="167" t="s">
        <v>318</v>
      </c>
      <c r="D442" s="11"/>
      <c r="E442" s="98" t="s">
        <v>75</v>
      </c>
      <c r="F442" s="744">
        <v>58.728000000000002</v>
      </c>
      <c r="G442" s="988">
        <v>48</v>
      </c>
      <c r="H442" s="216" t="s">
        <v>108</v>
      </c>
      <c r="I442" s="123">
        <v>2.4500000000000002</v>
      </c>
      <c r="J442" s="131">
        <v>2.4500000000000002</v>
      </c>
      <c r="K442" s="259" t="s">
        <v>100</v>
      </c>
      <c r="L442" s="123">
        <v>24</v>
      </c>
      <c r="M442" s="309">
        <v>24</v>
      </c>
      <c r="Q442" s="1570"/>
      <c r="S442" s="1570"/>
      <c r="U442" s="1570"/>
      <c r="W442" s="1570"/>
      <c r="Y442" s="1570"/>
      <c r="AA442" s="1685" t="s">
        <v>90</v>
      </c>
      <c r="AB442" s="1927"/>
      <c r="AC442" s="1907"/>
      <c r="AD442" s="1783"/>
      <c r="AE442" s="1687"/>
      <c r="AF442" s="1783"/>
      <c r="AG442" s="1760"/>
      <c r="AH442" s="1790">
        <f t="shared" si="296"/>
        <v>0</v>
      </c>
      <c r="AI442" s="1772">
        <f t="shared" si="314"/>
        <v>0</v>
      </c>
      <c r="AJ442" s="1790">
        <f t="shared" si="291"/>
        <v>0</v>
      </c>
      <c r="AK442" s="1805">
        <f t="shared" si="305"/>
        <v>0</v>
      </c>
      <c r="AP442" s="1685" t="s">
        <v>90</v>
      </c>
      <c r="AQ442" s="1840">
        <f t="shared" si="312"/>
        <v>0</v>
      </c>
      <c r="AR442" s="1667">
        <f t="shared" si="313"/>
        <v>0</v>
      </c>
    </row>
    <row r="443" spans="2:48" ht="15.75" thickBot="1">
      <c r="B443" s="1527" t="s">
        <v>1001</v>
      </c>
      <c r="C443" s="283" t="s">
        <v>464</v>
      </c>
      <c r="D443" s="44" t="s">
        <v>515</v>
      </c>
      <c r="E443" s="186" t="s">
        <v>91</v>
      </c>
      <c r="F443" s="233">
        <v>6</v>
      </c>
      <c r="G443" s="739">
        <v>6</v>
      </c>
      <c r="H443" s="48" t="s">
        <v>93</v>
      </c>
      <c r="I443" s="233">
        <v>3</v>
      </c>
      <c r="J443" s="235">
        <v>3</v>
      </c>
      <c r="K443" s="192" t="s">
        <v>57</v>
      </c>
      <c r="L443" s="233">
        <v>5</v>
      </c>
      <c r="M443" s="247">
        <v>5</v>
      </c>
      <c r="Q443" s="1570"/>
      <c r="S443" s="1570"/>
      <c r="U443" s="1570"/>
      <c r="W443" s="1570"/>
      <c r="Y443" s="1593"/>
      <c r="AA443" s="1688" t="s">
        <v>877</v>
      </c>
      <c r="AB443" s="1786">
        <f t="shared" ref="AB443" si="318">SUM(AB435:AB442)</f>
        <v>0</v>
      </c>
      <c r="AC443" s="1689">
        <f t="shared" ref="AC443" si="319">SUM(AC435:AC442)</f>
        <v>0</v>
      </c>
      <c r="AD443" s="1906">
        <f t="shared" ref="AD443" si="320">SUM(AD435:AD442)</f>
        <v>20</v>
      </c>
      <c r="AE443" s="1690">
        <f t="shared" ref="AE443" si="321">SUM(AE435:AE442)</f>
        <v>20</v>
      </c>
      <c r="AF443" s="1786">
        <f t="shared" ref="AF443" si="322">SUM(AF435:AF442)</f>
        <v>0</v>
      </c>
      <c r="AG443" s="1761">
        <f t="shared" ref="AG443" si="323">SUM(AG435:AG442)</f>
        <v>0</v>
      </c>
      <c r="AH443" s="1797">
        <f t="shared" si="296"/>
        <v>20</v>
      </c>
      <c r="AI443" s="1816">
        <f t="shared" si="314"/>
        <v>20</v>
      </c>
      <c r="AJ443" s="1797">
        <f t="shared" si="291"/>
        <v>20</v>
      </c>
      <c r="AK443" s="1691">
        <f t="shared" si="305"/>
        <v>20</v>
      </c>
      <c r="AP443" s="1688" t="s">
        <v>877</v>
      </c>
      <c r="AQ443" s="2130">
        <f>AB443+AD443+AF443</f>
        <v>20</v>
      </c>
      <c r="AR443" s="1672">
        <f>AC443+AE443+AG443</f>
        <v>20</v>
      </c>
    </row>
    <row r="444" spans="2:48">
      <c r="B444" s="246" t="s">
        <v>10</v>
      </c>
      <c r="C444" s="241" t="s">
        <v>792</v>
      </c>
      <c r="D444" s="284">
        <v>30</v>
      </c>
      <c r="E444" s="185" t="s">
        <v>465</v>
      </c>
      <c r="F444" s="233">
        <v>1.5</v>
      </c>
      <c r="G444" s="739">
        <v>1.5</v>
      </c>
      <c r="H444" s="241" t="s">
        <v>92</v>
      </c>
      <c r="I444" s="233">
        <v>0.69</v>
      </c>
      <c r="J444" s="235">
        <v>0.69</v>
      </c>
      <c r="K444" s="503" t="s">
        <v>420</v>
      </c>
      <c r="L444" s="498">
        <v>0.2</v>
      </c>
      <c r="M444" s="499">
        <v>0.2</v>
      </c>
      <c r="Q444" s="1570"/>
      <c r="S444" s="1570"/>
      <c r="U444" s="1570"/>
      <c r="W444" s="1570"/>
      <c r="Y444" s="367"/>
      <c r="AA444" s="2062" t="s">
        <v>93</v>
      </c>
      <c r="AB444" s="1784">
        <f>F416</f>
        <v>57.2</v>
      </c>
      <c r="AC444" s="2064">
        <f>G416</f>
        <v>57.2</v>
      </c>
      <c r="AD444" s="1788"/>
      <c r="AE444" s="2067"/>
      <c r="AF444" s="1784"/>
      <c r="AG444" s="2064"/>
      <c r="AH444" s="1788">
        <f t="shared" si="296"/>
        <v>57.2</v>
      </c>
      <c r="AI444" s="2069">
        <f t="shared" si="314"/>
        <v>57.2</v>
      </c>
      <c r="AJ444" s="1788">
        <f t="shared" si="291"/>
        <v>0</v>
      </c>
      <c r="AK444" s="1709">
        <f t="shared" si="305"/>
        <v>0</v>
      </c>
      <c r="AP444" s="2062" t="s">
        <v>93</v>
      </c>
      <c r="AQ444" s="2117">
        <f t="shared" ref="AQ444:AQ445" si="324">AB444+AD444+AF444</f>
        <v>57.2</v>
      </c>
      <c r="AR444" s="1708">
        <f t="shared" ref="AR444:AR445" si="325">AC444+AE444+AG444</f>
        <v>57.2</v>
      </c>
    </row>
    <row r="445" spans="2:48" ht="15.75" thickBot="1">
      <c r="B445" s="1156"/>
      <c r="C445" s="1153"/>
      <c r="E445" s="185" t="s">
        <v>465</v>
      </c>
      <c r="F445" s="271">
        <v>2</v>
      </c>
      <c r="G445" s="970">
        <v>2</v>
      </c>
      <c r="H445" s="241" t="s">
        <v>94</v>
      </c>
      <c r="I445" s="256">
        <v>6.9</v>
      </c>
      <c r="J445" s="257">
        <v>6.9</v>
      </c>
      <c r="K445" s="500" t="s">
        <v>94</v>
      </c>
      <c r="L445" s="251">
        <v>190</v>
      </c>
      <c r="M445" s="293">
        <v>190</v>
      </c>
      <c r="Q445" s="1570"/>
      <c r="S445" s="1570"/>
      <c r="U445" s="1581"/>
      <c r="W445" s="367"/>
      <c r="Y445" s="367"/>
      <c r="AA445" s="2063" t="s">
        <v>908</v>
      </c>
      <c r="AB445" s="1783"/>
      <c r="AC445" s="2065"/>
      <c r="AD445" s="1790"/>
      <c r="AE445" s="2068"/>
      <c r="AF445" s="1783"/>
      <c r="AG445" s="2065"/>
      <c r="AH445" s="1790">
        <f t="shared" si="296"/>
        <v>0</v>
      </c>
      <c r="AI445" s="1767">
        <f t="shared" si="314"/>
        <v>0</v>
      </c>
      <c r="AJ445" s="1790">
        <f t="shared" si="291"/>
        <v>0</v>
      </c>
      <c r="AK445" s="1701">
        <f t="shared" si="305"/>
        <v>0</v>
      </c>
      <c r="AP445" s="2063" t="s">
        <v>908</v>
      </c>
      <c r="AQ445" s="2074">
        <f t="shared" si="324"/>
        <v>0</v>
      </c>
      <c r="AR445" s="1700">
        <f t="shared" si="325"/>
        <v>0</v>
      </c>
      <c r="AV445" s="94"/>
    </row>
    <row r="446" spans="2:48" ht="15.75" thickBot="1">
      <c r="B446" s="1156"/>
      <c r="C446" s="1153"/>
      <c r="E446" s="185" t="s">
        <v>52</v>
      </c>
      <c r="F446" s="233">
        <v>94.46</v>
      </c>
      <c r="G446" s="970">
        <v>71</v>
      </c>
      <c r="H446" s="305" t="s">
        <v>222</v>
      </c>
      <c r="I446" s="233">
        <v>2.0000000000000001E-4</v>
      </c>
      <c r="J446" s="235">
        <v>2.0000000000000001E-4</v>
      </c>
      <c r="K446" s="597"/>
      <c r="L446" s="913"/>
      <c r="M446" s="979"/>
      <c r="Q446" s="1570"/>
      <c r="S446" s="1570"/>
      <c r="U446" s="1570"/>
      <c r="W446" s="367"/>
      <c r="Y446" s="367"/>
      <c r="AA446" s="1720" t="s">
        <v>909</v>
      </c>
      <c r="AB446" s="2070">
        <f t="shared" ref="AB446" si="326">SUM(AB444:AB445)</f>
        <v>57.2</v>
      </c>
      <c r="AC446" s="2066">
        <f t="shared" ref="AC446" si="327">SUM(AC444:AC445)</f>
        <v>57.2</v>
      </c>
      <c r="AD446" s="2071">
        <f t="shared" ref="AD446" si="328">SUM(AD444:AD445)</f>
        <v>0</v>
      </c>
      <c r="AE446" s="1705">
        <f t="shared" ref="AE446" si="329">SUM(AE444:AE445)</f>
        <v>0</v>
      </c>
      <c r="AF446" s="2070">
        <f t="shared" ref="AF446" si="330">SUM(AF444:AF445)</f>
        <v>0</v>
      </c>
      <c r="AG446" s="2072">
        <f t="shared" ref="AG446" si="331">SUM(AG444:AG445)</f>
        <v>0</v>
      </c>
      <c r="AH446" s="1795">
        <f t="shared" si="296"/>
        <v>57.2</v>
      </c>
      <c r="AI446" s="1768">
        <f t="shared" si="314"/>
        <v>57.2</v>
      </c>
      <c r="AJ446" s="1795">
        <f t="shared" si="291"/>
        <v>0</v>
      </c>
      <c r="AK446" s="1706">
        <f t="shared" si="305"/>
        <v>0</v>
      </c>
      <c r="AP446" s="1720" t="s">
        <v>909</v>
      </c>
      <c r="AQ446" s="2075">
        <f>AB446+AD446+AF446</f>
        <v>57.2</v>
      </c>
      <c r="AR446" s="1705">
        <f>AC446+AE446+AG446</f>
        <v>57.2</v>
      </c>
    </row>
    <row r="447" spans="2:48">
      <c r="B447" s="1156"/>
      <c r="C447" s="1153"/>
      <c r="E447" s="185" t="s">
        <v>176</v>
      </c>
      <c r="F447" s="233">
        <v>4.8</v>
      </c>
      <c r="G447" s="970">
        <v>4.8</v>
      </c>
      <c r="H447" s="241" t="s">
        <v>97</v>
      </c>
      <c r="I447" s="271">
        <v>0.1</v>
      </c>
      <c r="J447" s="235">
        <v>0.1</v>
      </c>
      <c r="K447" s="4"/>
      <c r="L447" s="32"/>
      <c r="M447" s="989"/>
      <c r="Q447" s="1570"/>
      <c r="S447" s="1570"/>
      <c r="U447" s="1570"/>
      <c r="W447" s="367"/>
      <c r="Y447" s="367"/>
      <c r="AB447" s="62"/>
      <c r="AD447" s="62"/>
      <c r="AE447" s="1570"/>
      <c r="AF447" s="786"/>
      <c r="AG447" s="1570"/>
      <c r="AH447" s="62"/>
      <c r="AI447" s="282"/>
      <c r="AJ447" s="62"/>
      <c r="AK447" s="1570"/>
    </row>
    <row r="448" spans="2:48">
      <c r="B448" s="754"/>
      <c r="C448" s="1154"/>
      <c r="E448" s="185" t="s">
        <v>97</v>
      </c>
      <c r="F448" s="271">
        <v>0.21</v>
      </c>
      <c r="G448" s="193">
        <v>0.21</v>
      </c>
      <c r="H448" s="241" t="s">
        <v>95</v>
      </c>
      <c r="I448" s="233">
        <v>0.2</v>
      </c>
      <c r="J448" s="235">
        <v>0.2</v>
      </c>
      <c r="K448" s="4"/>
      <c r="L448" s="32"/>
      <c r="M448" s="989"/>
      <c r="Q448" s="1570"/>
      <c r="S448" s="1570"/>
      <c r="U448" s="367"/>
      <c r="W448" s="367"/>
      <c r="Y448" s="367"/>
      <c r="AB448" s="62"/>
      <c r="AD448" s="62"/>
      <c r="AE448" s="1570"/>
      <c r="AF448" s="786"/>
      <c r="AG448" s="1570"/>
      <c r="AH448" s="62"/>
      <c r="AI448" s="347"/>
      <c r="AJ448" s="62"/>
      <c r="AK448" s="1570"/>
    </row>
    <row r="449" spans="2:48" ht="15.75" thickBot="1">
      <c r="B449" s="1139" t="s">
        <v>584</v>
      </c>
      <c r="C449" s="1136"/>
      <c r="D449" s="1182">
        <f>D441+D444+110+10</f>
        <v>350</v>
      </c>
      <c r="E449" s="195" t="s">
        <v>95</v>
      </c>
      <c r="F449" s="984">
        <v>3</v>
      </c>
      <c r="G449" s="1004">
        <v>3</v>
      </c>
      <c r="H449" s="29"/>
      <c r="I449" s="29"/>
      <c r="J449" s="74"/>
      <c r="K449" s="29"/>
      <c r="L449" s="29"/>
      <c r="M449" s="74"/>
      <c r="Q449" s="1570"/>
      <c r="S449" s="1570"/>
      <c r="U449" s="367"/>
      <c r="W449" s="367"/>
      <c r="Y449" s="1570"/>
      <c r="AB449" s="62"/>
      <c r="AD449" s="62"/>
      <c r="AE449" s="1570"/>
      <c r="AF449" s="786"/>
      <c r="AG449" s="1570"/>
      <c r="AH449" s="62"/>
      <c r="AI449" s="282"/>
      <c r="AJ449" s="62"/>
      <c r="AK449" s="1570"/>
      <c r="AV449" s="48"/>
    </row>
    <row r="450" spans="2:48">
      <c r="Q450" s="1570"/>
      <c r="S450" s="1570"/>
      <c r="U450" s="367"/>
      <c r="W450" s="367"/>
      <c r="Y450" s="1570"/>
      <c r="AB450" s="62"/>
      <c r="AD450" s="62"/>
      <c r="AE450" s="1570"/>
      <c r="AF450" s="786"/>
      <c r="AG450" s="1570"/>
      <c r="AH450" s="62"/>
      <c r="AI450" s="282"/>
      <c r="AJ450" s="62"/>
      <c r="AK450" s="1570"/>
    </row>
    <row r="451" spans="2:48">
      <c r="E451" s="207"/>
      <c r="Q451" s="1570"/>
      <c r="S451" s="1570"/>
      <c r="U451" s="367"/>
      <c r="W451" s="367"/>
      <c r="Y451" s="1570"/>
      <c r="AB451" s="62"/>
      <c r="AD451" s="62"/>
      <c r="AE451" s="1570"/>
      <c r="AF451" s="786"/>
      <c r="AG451" s="1570"/>
      <c r="AH451" s="62"/>
      <c r="AI451" s="282"/>
      <c r="AJ451" s="62"/>
      <c r="AK451" s="1570"/>
    </row>
    <row r="452" spans="2:48">
      <c r="C452" s="171" t="s">
        <v>551</v>
      </c>
      <c r="G452" s="2"/>
      <c r="H452" s="2"/>
      <c r="I452" s="2"/>
      <c r="Q452" s="1570"/>
      <c r="S452" s="1570"/>
      <c r="U452" s="367"/>
      <c r="W452" s="1570"/>
      <c r="Y452" s="1570"/>
      <c r="AA452" t="s">
        <v>872</v>
      </c>
      <c r="AK452" s="1570"/>
      <c r="AV452" s="1083"/>
    </row>
    <row r="453" spans="2:48">
      <c r="C453"/>
      <c r="D453" s="94" t="s">
        <v>354</v>
      </c>
      <c r="F453" s="15"/>
      <c r="K453" s="87"/>
      <c r="Q453" s="1570"/>
      <c r="S453" s="1570"/>
      <c r="U453" s="1570"/>
      <c r="W453" s="1570"/>
      <c r="Y453" s="1570"/>
      <c r="AA453" s="94" t="str">
        <f>O455</f>
        <v>9- й   день</v>
      </c>
      <c r="AB453" s="201" t="s">
        <v>513</v>
      </c>
      <c r="AG453" s="129" t="s">
        <v>173</v>
      </c>
      <c r="AI453" s="45" t="s">
        <v>558</v>
      </c>
      <c r="AJ453" s="63"/>
      <c r="AK453" s="1570"/>
      <c r="AV453" s="137"/>
    </row>
    <row r="454" spans="2:48" ht="15.75" thickBot="1">
      <c r="Q454" s="1570"/>
      <c r="S454" s="1570"/>
      <c r="U454" s="1570"/>
      <c r="W454" s="1570"/>
      <c r="Y454" s="1570"/>
      <c r="AC454" s="62"/>
      <c r="AE454" s="62"/>
      <c r="AF454" s="1570"/>
      <c r="AG454" s="786"/>
      <c r="AH454" s="1570"/>
      <c r="AI454" s="62"/>
      <c r="AJ454" s="282"/>
      <c r="AK454" s="1570"/>
      <c r="AV454" s="137"/>
    </row>
    <row r="455" spans="2:48" ht="16.5" thickBot="1">
      <c r="C455" s="1" t="s">
        <v>552</v>
      </c>
      <c r="O455" s="1936" t="s">
        <v>918</v>
      </c>
      <c r="P455" s="516" t="s">
        <v>513</v>
      </c>
      <c r="Q455" s="38"/>
      <c r="R455" s="38"/>
      <c r="S455" s="38"/>
      <c r="T455" s="38"/>
      <c r="U455" s="1937" t="s">
        <v>173</v>
      </c>
      <c r="V455" s="38"/>
      <c r="W455" s="1938" t="s">
        <v>558</v>
      </c>
      <c r="X455" s="1939"/>
      <c r="Y455" s="1582"/>
      <c r="AB455" s="62"/>
      <c r="AD455" s="62"/>
      <c r="AE455" s="1570"/>
      <c r="AF455" s="786"/>
      <c r="AG455" s="1570"/>
      <c r="AH455" s="62"/>
      <c r="AI455" s="282"/>
      <c r="AJ455" s="62"/>
      <c r="AK455" s="1570"/>
      <c r="AM455" s="37"/>
      <c r="AN455" s="312" t="s">
        <v>893</v>
      </c>
      <c r="AO455" s="38"/>
      <c r="AP455" s="68"/>
      <c r="AQ455" s="38"/>
      <c r="AR455" s="50"/>
      <c r="AV455" s="124"/>
    </row>
    <row r="456" spans="2:48" ht="15.75" thickBot="1">
      <c r="C456" s="1" t="s">
        <v>553</v>
      </c>
      <c r="O456" s="1612" t="s">
        <v>508</v>
      </c>
      <c r="P456" s="1676" t="s">
        <v>886</v>
      </c>
      <c r="Q456" s="1602"/>
      <c r="R456" s="1676" t="s">
        <v>885</v>
      </c>
      <c r="S456" s="1602"/>
      <c r="T456" s="1676" t="s">
        <v>887</v>
      </c>
      <c r="U456" s="1602"/>
      <c r="V456" s="1676" t="s">
        <v>889</v>
      </c>
      <c r="W456" s="1602"/>
      <c r="X456" s="1977" t="s">
        <v>891</v>
      </c>
      <c r="Y456" s="1978"/>
      <c r="AA456" s="1612" t="s">
        <v>508</v>
      </c>
      <c r="AB456" s="1676" t="s">
        <v>886</v>
      </c>
      <c r="AC456" s="1602"/>
      <c r="AD456" s="1676" t="s">
        <v>885</v>
      </c>
      <c r="AE456" s="1602"/>
      <c r="AF456" s="1676" t="s">
        <v>887</v>
      </c>
      <c r="AG456" s="1602"/>
      <c r="AH456" s="1676" t="s">
        <v>888</v>
      </c>
      <c r="AI456" s="1602"/>
      <c r="AJ456" s="1798" t="s">
        <v>890</v>
      </c>
      <c r="AK456" s="1602"/>
      <c r="AM456" s="1612" t="s">
        <v>508</v>
      </c>
      <c r="AN456" s="1862" t="s">
        <v>892</v>
      </c>
      <c r="AO456" s="1832"/>
      <c r="AP456" s="1612" t="s">
        <v>508</v>
      </c>
      <c r="AQ456" s="2001" t="s">
        <v>892</v>
      </c>
      <c r="AR456" s="1841"/>
      <c r="AV456" s="124"/>
    </row>
    <row r="457" spans="2:48" ht="15.75" thickBot="1">
      <c r="C457" s="1" t="s">
        <v>553</v>
      </c>
      <c r="E457" t="s">
        <v>554</v>
      </c>
      <c r="O457" s="871"/>
      <c r="P457" s="1621" t="s">
        <v>119</v>
      </c>
      <c r="Q457" s="1622" t="s">
        <v>120</v>
      </c>
      <c r="R457" s="1621" t="s">
        <v>119</v>
      </c>
      <c r="S457" s="1622" t="s">
        <v>120</v>
      </c>
      <c r="T457" s="1621" t="s">
        <v>119</v>
      </c>
      <c r="U457" s="1622" t="s">
        <v>120</v>
      </c>
      <c r="V457" s="1621" t="s">
        <v>119</v>
      </c>
      <c r="W457" s="1622" t="s">
        <v>120</v>
      </c>
      <c r="X457" s="1804" t="s">
        <v>119</v>
      </c>
      <c r="Y457" s="1822" t="s">
        <v>120</v>
      </c>
      <c r="AA457" s="2003" t="s">
        <v>67</v>
      </c>
      <c r="AB457" s="1621" t="s">
        <v>119</v>
      </c>
      <c r="AC457" s="1664" t="s">
        <v>120</v>
      </c>
      <c r="AD457" s="1637" t="s">
        <v>119</v>
      </c>
      <c r="AE457" s="1638" t="s">
        <v>120</v>
      </c>
      <c r="AF457" s="1637" t="s">
        <v>119</v>
      </c>
      <c r="AG457" s="1638" t="s">
        <v>120</v>
      </c>
      <c r="AH457" s="1621" t="s">
        <v>119</v>
      </c>
      <c r="AI457" s="1622" t="s">
        <v>120</v>
      </c>
      <c r="AJ457" s="1799" t="s">
        <v>119</v>
      </c>
      <c r="AK457" s="1622" t="s">
        <v>120</v>
      </c>
      <c r="AM457" s="871"/>
      <c r="AN457" s="1863" t="s">
        <v>119</v>
      </c>
      <c r="AO457" s="1833" t="s">
        <v>120</v>
      </c>
      <c r="AP457" s="2143" t="s">
        <v>67</v>
      </c>
      <c r="AQ457" s="2002" t="s">
        <v>119</v>
      </c>
      <c r="AR457" s="2144" t="s">
        <v>120</v>
      </c>
      <c r="AV457" s="124"/>
    </row>
    <row r="458" spans="2:48">
      <c r="C458" s="1" t="s">
        <v>555</v>
      </c>
      <c r="E458" t="s">
        <v>556</v>
      </c>
      <c r="O458" s="1940" t="s">
        <v>165</v>
      </c>
      <c r="P458" s="1928">
        <f>D474</f>
        <v>30</v>
      </c>
      <c r="Q458" s="2018">
        <f>D474</f>
        <v>30</v>
      </c>
      <c r="R458" s="1731">
        <f>D488</f>
        <v>40</v>
      </c>
      <c r="S458" s="2018">
        <f>D488</f>
        <v>40</v>
      </c>
      <c r="T458" s="1731"/>
      <c r="U458" s="2018"/>
      <c r="V458" s="1731">
        <f>P458+R458</f>
        <v>70</v>
      </c>
      <c r="W458" s="2019">
        <f>Q458+S458</f>
        <v>70</v>
      </c>
      <c r="X458" s="1731">
        <f>R458+T458</f>
        <v>40</v>
      </c>
      <c r="Y458" s="1583">
        <f>S458+U458</f>
        <v>40</v>
      </c>
      <c r="AA458" s="178" t="s">
        <v>159</v>
      </c>
      <c r="AB458" s="2035"/>
      <c r="AC458" s="840"/>
      <c r="AD458" s="1792"/>
      <c r="AE458" s="1598"/>
      <c r="AF458" s="1792"/>
      <c r="AG458" s="1681"/>
      <c r="AH458" s="1792">
        <f>AB458+AD458</f>
        <v>0</v>
      </c>
      <c r="AI458" s="1586">
        <f>AC458+AE458</f>
        <v>0</v>
      </c>
      <c r="AJ458" s="1792">
        <f>AD458+AF458</f>
        <v>0</v>
      </c>
      <c r="AK458" s="1583">
        <f>AE458+AG458</f>
        <v>0</v>
      </c>
      <c r="AM458" s="1992" t="s">
        <v>165</v>
      </c>
      <c r="AN458" s="1743">
        <f>P458+R458+T458</f>
        <v>70</v>
      </c>
      <c r="AO458" s="858">
        <f>Q458+S458+U458</f>
        <v>70</v>
      </c>
      <c r="AP458" s="2034" t="s">
        <v>159</v>
      </c>
      <c r="AQ458" s="2112">
        <f>AB458+AD458+AF458</f>
        <v>0</v>
      </c>
      <c r="AR458" s="856">
        <f>AC458+AE458+AG458</f>
        <v>0</v>
      </c>
      <c r="AV458" s="207"/>
    </row>
    <row r="459" spans="2:48">
      <c r="C459" s="1" t="s">
        <v>555</v>
      </c>
      <c r="E459" t="s">
        <v>557</v>
      </c>
      <c r="O459" s="1613" t="s">
        <v>164</v>
      </c>
      <c r="P459" s="1568">
        <f>D473</f>
        <v>40</v>
      </c>
      <c r="Q459" s="2020">
        <f>D473</f>
        <v>40</v>
      </c>
      <c r="R459" s="1724">
        <f>D487</f>
        <v>70</v>
      </c>
      <c r="S459" s="2020">
        <f>D487</f>
        <v>70</v>
      </c>
      <c r="T459" s="1724">
        <f>D499</f>
        <v>40</v>
      </c>
      <c r="U459" s="2020">
        <f>D499</f>
        <v>40</v>
      </c>
      <c r="V459" s="1724">
        <f t="shared" ref="V459:V487" si="332">P459+R459</f>
        <v>110</v>
      </c>
      <c r="W459" s="1586">
        <f t="shared" ref="W459:W488" si="333">Q459+S459</f>
        <v>110</v>
      </c>
      <c r="X459" s="1724">
        <f t="shared" ref="X459:X492" si="334">R459+T459</f>
        <v>110</v>
      </c>
      <c r="Y459" s="1585">
        <f t="shared" ref="Y459:Y488" si="335">S459+U459</f>
        <v>110</v>
      </c>
      <c r="AA459" s="178" t="s">
        <v>70</v>
      </c>
      <c r="AB459" s="444"/>
      <c r="AC459" s="841"/>
      <c r="AD459" s="1789"/>
      <c r="AE459" s="1598"/>
      <c r="AF459" s="1789"/>
      <c r="AG459" s="1681"/>
      <c r="AH459" s="1789">
        <f>AB459+AD459</f>
        <v>0</v>
      </c>
      <c r="AI459" s="1586">
        <f t="shared" ref="AI459:AJ472" si="336">AC459+AE459</f>
        <v>0</v>
      </c>
      <c r="AJ459" s="1789">
        <f>AD459+AF459</f>
        <v>0</v>
      </c>
      <c r="AK459" s="1585">
        <f t="shared" ref="AK459:AK472" si="337">AE459+AG459</f>
        <v>0</v>
      </c>
      <c r="AM459" s="1944" t="s">
        <v>164</v>
      </c>
      <c r="AN459" s="1743">
        <f t="shared" ref="AN459:AN471" si="338">P459+R459+T459</f>
        <v>150</v>
      </c>
      <c r="AO459" s="858">
        <f t="shared" ref="AO459:AO488" si="339">Q459+S459+U459</f>
        <v>150</v>
      </c>
      <c r="AP459" s="2039" t="s">
        <v>70</v>
      </c>
      <c r="AQ459" s="1801">
        <f t="shared" ref="AQ459:AQ474" si="340">AB459+AD459+AF459</f>
        <v>0</v>
      </c>
      <c r="AR459" s="856">
        <f t="shared" ref="AR459:AR473" si="341">AC459+AE459+AG459</f>
        <v>0</v>
      </c>
    </row>
    <row r="460" spans="2:48">
      <c r="O460" s="1941" t="s">
        <v>92</v>
      </c>
      <c r="P460" s="1568">
        <f>F472+I470+L478</f>
        <v>6.580000000000001</v>
      </c>
      <c r="Q460" s="1586">
        <f>G472+J470+M478</f>
        <v>6.580000000000001</v>
      </c>
      <c r="R460" s="1724"/>
      <c r="S460" s="1600"/>
      <c r="T460" s="1724">
        <f>I500</f>
        <v>2.2000000000000002</v>
      </c>
      <c r="U460" s="1600">
        <f>J500</f>
        <v>2.2000000000000002</v>
      </c>
      <c r="V460" s="1724">
        <f t="shared" si="332"/>
        <v>6.580000000000001</v>
      </c>
      <c r="W460" s="1586">
        <f t="shared" si="333"/>
        <v>6.580000000000001</v>
      </c>
      <c r="X460" s="1724">
        <f t="shared" si="334"/>
        <v>2.2000000000000002</v>
      </c>
      <c r="Y460" s="1585">
        <f t="shared" si="335"/>
        <v>2.2000000000000002</v>
      </c>
      <c r="AA460" s="125" t="s">
        <v>72</v>
      </c>
      <c r="AB460" s="444"/>
      <c r="AC460" s="842"/>
      <c r="AD460" s="1789"/>
      <c r="AE460" s="1598"/>
      <c r="AF460" s="1789"/>
      <c r="AG460" s="1681"/>
      <c r="AH460" s="1789">
        <f>AB460+AD460</f>
        <v>0</v>
      </c>
      <c r="AI460" s="1586">
        <f t="shared" si="336"/>
        <v>0</v>
      </c>
      <c r="AJ460" s="1789">
        <f>AD460+AF460</f>
        <v>0</v>
      </c>
      <c r="AK460" s="1585">
        <f t="shared" si="337"/>
        <v>0</v>
      </c>
      <c r="AM460" s="1993" t="s">
        <v>92</v>
      </c>
      <c r="AN460" s="1743">
        <f t="shared" si="338"/>
        <v>8.7800000000000011</v>
      </c>
      <c r="AO460" s="858">
        <f t="shared" si="339"/>
        <v>8.7800000000000011</v>
      </c>
      <c r="AP460" s="2100" t="s">
        <v>72</v>
      </c>
      <c r="AQ460" s="1801">
        <f t="shared" si="340"/>
        <v>0</v>
      </c>
      <c r="AR460" s="856">
        <f t="shared" si="341"/>
        <v>0</v>
      </c>
    </row>
    <row r="461" spans="2:48">
      <c r="B461" s="2" t="s">
        <v>513</v>
      </c>
      <c r="F461" s="129" t="s">
        <v>173</v>
      </c>
      <c r="I461" s="13" t="s">
        <v>558</v>
      </c>
      <c r="K461" s="346"/>
      <c r="O461" s="1614" t="s">
        <v>900</v>
      </c>
      <c r="P461" s="1929">
        <f t="shared" ref="P461:U461" si="342">AB496</f>
        <v>0</v>
      </c>
      <c r="Q461" s="1595">
        <f t="shared" si="342"/>
        <v>0</v>
      </c>
      <c r="R461" s="2167">
        <f t="shared" si="342"/>
        <v>47.6</v>
      </c>
      <c r="S461" s="1594">
        <f t="shared" si="342"/>
        <v>47.6</v>
      </c>
      <c r="T461" s="1725">
        <f t="shared" si="342"/>
        <v>0</v>
      </c>
      <c r="U461" s="1595">
        <f t="shared" si="342"/>
        <v>0</v>
      </c>
      <c r="V461" s="1725">
        <f>P461+R461</f>
        <v>47.6</v>
      </c>
      <c r="W461" s="1594">
        <f t="shared" si="333"/>
        <v>47.6</v>
      </c>
      <c r="X461" s="1725">
        <f t="shared" si="334"/>
        <v>47.6</v>
      </c>
      <c r="Y461" s="1820">
        <f t="shared" si="335"/>
        <v>47.6</v>
      </c>
      <c r="AA461" s="125" t="s">
        <v>74</v>
      </c>
      <c r="AB461" s="1789"/>
      <c r="AC461" s="843"/>
      <c r="AD461" s="1789"/>
      <c r="AE461" s="1598"/>
      <c r="AF461" s="1789"/>
      <c r="AG461" s="1681"/>
      <c r="AH461" s="1789">
        <f t="shared" ref="AH461:AH472" si="343">AB461+AD461</f>
        <v>0</v>
      </c>
      <c r="AI461" s="1586">
        <f t="shared" si="336"/>
        <v>0</v>
      </c>
      <c r="AJ461" s="1789">
        <f t="shared" si="336"/>
        <v>0</v>
      </c>
      <c r="AK461" s="1585">
        <f t="shared" si="337"/>
        <v>0</v>
      </c>
      <c r="AM461" s="1996" t="s">
        <v>900</v>
      </c>
      <c r="AN461" s="2076">
        <f>P461+R461+T461</f>
        <v>47.6</v>
      </c>
      <c r="AO461" s="858">
        <f t="shared" si="339"/>
        <v>47.6</v>
      </c>
      <c r="AP461" s="2100" t="s">
        <v>74</v>
      </c>
      <c r="AQ461" s="1801">
        <f t="shared" si="340"/>
        <v>0</v>
      </c>
      <c r="AR461" s="856">
        <f t="shared" si="341"/>
        <v>0</v>
      </c>
    </row>
    <row r="462" spans="2:48" ht="15.75" thickBot="1">
      <c r="B462" s="2"/>
      <c r="C462" s="2"/>
      <c r="D462" s="81"/>
      <c r="F462" s="129"/>
      <c r="I462" s="82"/>
      <c r="K462" s="346"/>
      <c r="O462" s="1613" t="s">
        <v>123</v>
      </c>
      <c r="P462" s="1568"/>
      <c r="Q462" s="1569"/>
      <c r="R462" s="1724"/>
      <c r="S462" s="1569"/>
      <c r="T462" s="1724"/>
      <c r="U462" s="1569"/>
      <c r="V462" s="1724">
        <f t="shared" si="332"/>
        <v>0</v>
      </c>
      <c r="W462" s="1586">
        <f t="shared" si="333"/>
        <v>0</v>
      </c>
      <c r="X462" s="1724">
        <f t="shared" si="334"/>
        <v>0</v>
      </c>
      <c r="Y462" s="1585">
        <f t="shared" si="335"/>
        <v>0</v>
      </c>
      <c r="AA462" s="126" t="s">
        <v>112</v>
      </c>
      <c r="AB462" s="1789">
        <f>I469+L474</f>
        <v>5.2</v>
      </c>
      <c r="AC462" s="1957">
        <f>J469+M474</f>
        <v>5.2</v>
      </c>
      <c r="AD462" s="1969">
        <f>F488+I489</f>
        <v>3.2</v>
      </c>
      <c r="AE462" s="1598">
        <f>G488+J489</f>
        <v>3.2</v>
      </c>
      <c r="AF462" s="1789"/>
      <c r="AG462" s="1681"/>
      <c r="AH462" s="1789">
        <f t="shared" si="343"/>
        <v>8.4</v>
      </c>
      <c r="AI462" s="1586">
        <f t="shared" si="336"/>
        <v>8.4</v>
      </c>
      <c r="AJ462" s="1789">
        <f t="shared" si="336"/>
        <v>3.2</v>
      </c>
      <c r="AK462" s="1585">
        <f t="shared" si="337"/>
        <v>3.2</v>
      </c>
      <c r="AM462" s="1944" t="s">
        <v>123</v>
      </c>
      <c r="AN462" s="1743">
        <f t="shared" si="338"/>
        <v>0</v>
      </c>
      <c r="AO462" s="858">
        <f t="shared" si="339"/>
        <v>0</v>
      </c>
      <c r="AP462" s="2039" t="s">
        <v>112</v>
      </c>
      <c r="AQ462" s="1801">
        <f t="shared" si="340"/>
        <v>8.4</v>
      </c>
      <c r="AR462" s="856">
        <f t="shared" si="341"/>
        <v>8.4</v>
      </c>
      <c r="AT462" s="855"/>
    </row>
    <row r="463" spans="2:48">
      <c r="B463" s="25" t="s">
        <v>565</v>
      </c>
      <c r="C463" s="83" t="s">
        <v>3</v>
      </c>
      <c r="D463" s="84" t="s">
        <v>4</v>
      </c>
      <c r="E463" s="88" t="s">
        <v>69</v>
      </c>
      <c r="F463" s="68"/>
      <c r="G463" s="68"/>
      <c r="H463" s="68"/>
      <c r="I463" s="68"/>
      <c r="J463" s="68"/>
      <c r="K463" s="68"/>
      <c r="L463" s="68"/>
      <c r="M463" s="54"/>
      <c r="O463" s="556" t="s">
        <v>52</v>
      </c>
      <c r="P463" s="2133">
        <f>L467</f>
        <v>129.06</v>
      </c>
      <c r="Q463" s="1586">
        <f>M467</f>
        <v>96.8</v>
      </c>
      <c r="R463" s="1724">
        <f>F485</f>
        <v>46.363999999999997</v>
      </c>
      <c r="S463" s="1600">
        <f>G485</f>
        <v>34.6</v>
      </c>
      <c r="T463" s="1966">
        <f>F498</f>
        <v>112</v>
      </c>
      <c r="U463" s="1569">
        <f>G498</f>
        <v>83.7</v>
      </c>
      <c r="V463" s="1724">
        <f t="shared" si="332"/>
        <v>175.42400000000001</v>
      </c>
      <c r="W463" s="1586">
        <f t="shared" si="333"/>
        <v>131.4</v>
      </c>
      <c r="X463" s="1724">
        <f t="shared" si="334"/>
        <v>158.364</v>
      </c>
      <c r="Y463" s="1585">
        <f t="shared" si="335"/>
        <v>118.30000000000001</v>
      </c>
      <c r="AA463" s="125" t="s">
        <v>161</v>
      </c>
      <c r="AB463" s="1789">
        <f>F469</f>
        <v>2.1</v>
      </c>
      <c r="AC463" s="1957">
        <f>G469</f>
        <v>2</v>
      </c>
      <c r="AD463" s="1789"/>
      <c r="AE463" s="1598"/>
      <c r="AF463" s="1789"/>
      <c r="AG463" s="1681"/>
      <c r="AH463" s="1789">
        <f t="shared" si="343"/>
        <v>2.1</v>
      </c>
      <c r="AI463" s="1586">
        <f t="shared" si="336"/>
        <v>2</v>
      </c>
      <c r="AJ463" s="1789">
        <f t="shared" si="336"/>
        <v>0</v>
      </c>
      <c r="AK463" s="1585">
        <f t="shared" si="337"/>
        <v>0</v>
      </c>
      <c r="AM463" s="495" t="s">
        <v>52</v>
      </c>
      <c r="AN463" s="1743">
        <f t="shared" si="338"/>
        <v>287.42399999999998</v>
      </c>
      <c r="AO463" s="858">
        <f t="shared" si="339"/>
        <v>215.10000000000002</v>
      </c>
      <c r="AP463" s="2100" t="s">
        <v>161</v>
      </c>
      <c r="AQ463" s="1801">
        <f t="shared" si="340"/>
        <v>2.1</v>
      </c>
      <c r="AR463" s="856">
        <f t="shared" si="341"/>
        <v>2</v>
      </c>
    </row>
    <row r="464" spans="2:48" ht="15.75" thickBot="1">
      <c r="B464" s="287" t="s">
        <v>566</v>
      </c>
      <c r="C464"/>
      <c r="D464" s="288" t="s">
        <v>71</v>
      </c>
      <c r="E464" s="484"/>
      <c r="F464" s="29"/>
      <c r="G464" s="29"/>
      <c r="H464" s="29"/>
      <c r="I464" s="29"/>
      <c r="J464" s="29"/>
      <c r="K464" s="873"/>
      <c r="L464" s="29"/>
      <c r="M464" s="74"/>
      <c r="O464" s="1615" t="s">
        <v>912</v>
      </c>
      <c r="P464" s="2132">
        <f t="shared" ref="P464:U464" si="344">AB473</f>
        <v>189.26</v>
      </c>
      <c r="Q464" s="1598">
        <f t="shared" si="344"/>
        <v>159.65</v>
      </c>
      <c r="R464" s="2086">
        <f t="shared" si="344"/>
        <v>189.7</v>
      </c>
      <c r="S464" s="1598">
        <f t="shared" si="344"/>
        <v>156.53</v>
      </c>
      <c r="T464" s="1726">
        <f t="shared" si="344"/>
        <v>38.700000000000003</v>
      </c>
      <c r="U464" s="1598">
        <f t="shared" si="344"/>
        <v>31.5</v>
      </c>
      <c r="V464" s="2050">
        <f>P464+R464</f>
        <v>378.96</v>
      </c>
      <c r="W464" s="1597">
        <f t="shared" si="333"/>
        <v>316.18</v>
      </c>
      <c r="X464" s="2086">
        <f>R464+T464</f>
        <v>228.39999999999998</v>
      </c>
      <c r="Y464" s="1604">
        <f t="shared" si="335"/>
        <v>188.03</v>
      </c>
      <c r="AA464" s="125" t="s">
        <v>155</v>
      </c>
      <c r="AB464" s="2083">
        <f>L472</f>
        <v>99.4</v>
      </c>
      <c r="AC464" s="1957">
        <f>M472</f>
        <v>79.8</v>
      </c>
      <c r="AD464" s="2083"/>
      <c r="AE464" s="1598"/>
      <c r="AF464" s="1789"/>
      <c r="AG464" s="1681"/>
      <c r="AH464" s="1789">
        <f t="shared" si="343"/>
        <v>99.4</v>
      </c>
      <c r="AI464" s="1586">
        <f t="shared" si="336"/>
        <v>79.8</v>
      </c>
      <c r="AJ464" s="1789">
        <f t="shared" si="336"/>
        <v>0</v>
      </c>
      <c r="AK464" s="1585">
        <f t="shared" si="337"/>
        <v>0</v>
      </c>
      <c r="AM464" s="2016" t="s">
        <v>96</v>
      </c>
      <c r="AN464" s="2077">
        <f t="shared" si="338"/>
        <v>417.65999999999997</v>
      </c>
      <c r="AO464" s="858">
        <f t="shared" si="339"/>
        <v>347.68</v>
      </c>
      <c r="AP464" s="2100" t="s">
        <v>155</v>
      </c>
      <c r="AQ464" s="1801">
        <f t="shared" si="340"/>
        <v>99.4</v>
      </c>
      <c r="AR464" s="856">
        <f t="shared" si="341"/>
        <v>79.8</v>
      </c>
    </row>
    <row r="465" spans="2:48" ht="16.5" thickBot="1">
      <c r="B465" s="1036" t="s">
        <v>564</v>
      </c>
      <c r="C465" s="68"/>
      <c r="D465" s="462"/>
      <c r="E465" s="397" t="s">
        <v>506</v>
      </c>
      <c r="G465" s="38"/>
      <c r="H465" s="38"/>
      <c r="I465" s="38"/>
      <c r="J465" s="50"/>
      <c r="K465" s="413" t="s">
        <v>205</v>
      </c>
      <c r="L465" s="893"/>
      <c r="M465" s="894"/>
      <c r="O465" s="1623" t="s">
        <v>901</v>
      </c>
      <c r="P465" s="1930">
        <f t="shared" ref="P465:U465" si="345">AB480</f>
        <v>0</v>
      </c>
      <c r="Q465" s="1586">
        <f t="shared" si="345"/>
        <v>0</v>
      </c>
      <c r="R465" s="1727">
        <f t="shared" si="345"/>
        <v>127.25</v>
      </c>
      <c r="S465" s="1569">
        <f t="shared" si="345"/>
        <v>112</v>
      </c>
      <c r="T465" s="1727">
        <f t="shared" si="345"/>
        <v>7.5</v>
      </c>
      <c r="U465" s="1569">
        <f t="shared" si="345"/>
        <v>7</v>
      </c>
      <c r="V465" s="1727">
        <f>P465+R465</f>
        <v>127.25</v>
      </c>
      <c r="W465" s="1586">
        <f t="shared" si="333"/>
        <v>112</v>
      </c>
      <c r="X465" s="1727">
        <f>R465+T465</f>
        <v>134.75</v>
      </c>
      <c r="Y465" s="1585">
        <f t="shared" si="335"/>
        <v>119</v>
      </c>
      <c r="AA465" s="125" t="s">
        <v>158</v>
      </c>
      <c r="AB465" s="1789"/>
      <c r="AC465" s="1959"/>
      <c r="AD465" s="1789"/>
      <c r="AE465" s="1598"/>
      <c r="AF465" s="1789"/>
      <c r="AG465" s="1681"/>
      <c r="AH465" s="1789">
        <f t="shared" si="343"/>
        <v>0</v>
      </c>
      <c r="AI465" s="1586">
        <f t="shared" si="336"/>
        <v>0</v>
      </c>
      <c r="AJ465" s="1789">
        <f t="shared" si="336"/>
        <v>0</v>
      </c>
      <c r="AK465" s="1585">
        <f t="shared" si="337"/>
        <v>0</v>
      </c>
      <c r="AM465" s="1943" t="s">
        <v>901</v>
      </c>
      <c r="AN465" s="1743">
        <f t="shared" si="338"/>
        <v>134.75</v>
      </c>
      <c r="AO465" s="858">
        <f t="shared" si="339"/>
        <v>119</v>
      </c>
      <c r="AP465" s="2100" t="s">
        <v>158</v>
      </c>
      <c r="AQ465" s="1801">
        <f t="shared" si="340"/>
        <v>0</v>
      </c>
      <c r="AR465" s="856">
        <f t="shared" si="341"/>
        <v>0</v>
      </c>
    </row>
    <row r="466" spans="2:48" ht="15.75" thickBot="1">
      <c r="B466" s="88"/>
      <c r="C466" s="162" t="s">
        <v>199</v>
      </c>
      <c r="D466" s="54"/>
      <c r="E466" s="286" t="s">
        <v>118</v>
      </c>
      <c r="F466" s="102" t="s">
        <v>119</v>
      </c>
      <c r="G466" s="133" t="s">
        <v>120</v>
      </c>
      <c r="H466" s="307" t="s">
        <v>118</v>
      </c>
      <c r="I466" s="102" t="s">
        <v>119</v>
      </c>
      <c r="J466" s="133" t="s">
        <v>120</v>
      </c>
      <c r="K466" s="155" t="s">
        <v>118</v>
      </c>
      <c r="L466" s="103" t="s">
        <v>119</v>
      </c>
      <c r="M466" s="318" t="s">
        <v>120</v>
      </c>
      <c r="O466" s="1616" t="s">
        <v>122</v>
      </c>
      <c r="P466" s="1930"/>
      <c r="Q466" s="1569"/>
      <c r="R466" s="1970">
        <f>L484</f>
        <v>14</v>
      </c>
      <c r="S466" s="1569">
        <f>M484</f>
        <v>14</v>
      </c>
      <c r="T466" s="1727"/>
      <c r="U466" s="1569"/>
      <c r="V466" s="1724">
        <f t="shared" si="332"/>
        <v>14</v>
      </c>
      <c r="W466" s="1586">
        <f t="shared" si="333"/>
        <v>14</v>
      </c>
      <c r="X466" s="1727">
        <f>R466+T466</f>
        <v>14</v>
      </c>
      <c r="Y466" s="1585">
        <f t="shared" si="335"/>
        <v>14</v>
      </c>
      <c r="AA466" s="125" t="s">
        <v>101</v>
      </c>
      <c r="AB466" s="1789">
        <f>F468+I474+L476</f>
        <v>12.66</v>
      </c>
      <c r="AC466" s="1959">
        <f>G468+J474+M476</f>
        <v>10.899999999999999</v>
      </c>
      <c r="AD466" s="1969">
        <f>F487+I487</f>
        <v>18</v>
      </c>
      <c r="AE466" s="1598">
        <f>G487+J487</f>
        <v>15</v>
      </c>
      <c r="AF466" s="1789">
        <f>F499</f>
        <v>21.6</v>
      </c>
      <c r="AG466" s="1681">
        <f>G499</f>
        <v>18</v>
      </c>
      <c r="AH466" s="1789">
        <f t="shared" si="343"/>
        <v>30.66</v>
      </c>
      <c r="AI466" s="1586">
        <f t="shared" si="336"/>
        <v>25.9</v>
      </c>
      <c r="AJ466" s="1789">
        <f t="shared" si="336"/>
        <v>39.6</v>
      </c>
      <c r="AK466" s="1585">
        <f t="shared" si="337"/>
        <v>33</v>
      </c>
      <c r="AM466" s="1947" t="s">
        <v>122</v>
      </c>
      <c r="AN466" s="1743">
        <f t="shared" si="338"/>
        <v>14</v>
      </c>
      <c r="AO466" s="858">
        <f t="shared" si="339"/>
        <v>14</v>
      </c>
      <c r="AP466" s="2100" t="s">
        <v>101</v>
      </c>
      <c r="AQ466" s="1801">
        <f t="shared" si="340"/>
        <v>52.260000000000005</v>
      </c>
      <c r="AR466" s="856">
        <f t="shared" si="341"/>
        <v>43.9</v>
      </c>
      <c r="AV466" s="855"/>
    </row>
    <row r="467" spans="2:48">
      <c r="B467" s="1184" t="s">
        <v>630</v>
      </c>
      <c r="C467" s="283" t="s">
        <v>396</v>
      </c>
      <c r="D467" s="378">
        <v>60</v>
      </c>
      <c r="E467" s="259" t="s">
        <v>150</v>
      </c>
      <c r="F467" s="895">
        <v>154.76499999999999</v>
      </c>
      <c r="G467" s="416">
        <v>108.5</v>
      </c>
      <c r="H467" s="896" t="s">
        <v>110</v>
      </c>
      <c r="I467" s="1097"/>
      <c r="J467" s="1098"/>
      <c r="K467" s="100" t="s">
        <v>52</v>
      </c>
      <c r="L467" s="279">
        <v>129.06</v>
      </c>
      <c r="M467" s="280">
        <v>96.8</v>
      </c>
      <c r="O467" s="1941" t="s">
        <v>313</v>
      </c>
      <c r="P467" s="1568">
        <f>D472</f>
        <v>200</v>
      </c>
      <c r="Q467" s="1569">
        <f>D472</f>
        <v>200</v>
      </c>
      <c r="R467" s="1724">
        <f>L487</f>
        <v>80</v>
      </c>
      <c r="S467" s="1569">
        <f>M487</f>
        <v>80</v>
      </c>
      <c r="T467" s="1724"/>
      <c r="U467" s="1569"/>
      <c r="V467" s="1724">
        <f t="shared" si="332"/>
        <v>280</v>
      </c>
      <c r="W467" s="1586">
        <f t="shared" si="333"/>
        <v>280</v>
      </c>
      <c r="X467" s="1724">
        <f t="shared" si="334"/>
        <v>80</v>
      </c>
      <c r="Y467" s="1585">
        <f t="shared" si="335"/>
        <v>80</v>
      </c>
      <c r="AA467" s="125" t="s">
        <v>79</v>
      </c>
      <c r="AB467" s="1789">
        <f>L475</f>
        <v>2.1</v>
      </c>
      <c r="AC467" s="1957">
        <f>M475</f>
        <v>1.75</v>
      </c>
      <c r="AD467" s="1969">
        <f>F486+I488</f>
        <v>36.5</v>
      </c>
      <c r="AE467" s="1598">
        <f>G486+J488</f>
        <v>29.2</v>
      </c>
      <c r="AF467" s="1789">
        <f>F500</f>
        <v>17.100000000000001</v>
      </c>
      <c r="AG467" s="1681">
        <f>G500</f>
        <v>13.5</v>
      </c>
      <c r="AH467" s="1789">
        <f t="shared" si="343"/>
        <v>38.6</v>
      </c>
      <c r="AI467" s="1586">
        <f t="shared" si="336"/>
        <v>30.95</v>
      </c>
      <c r="AJ467" s="1789">
        <f t="shared" si="336"/>
        <v>53.6</v>
      </c>
      <c r="AK467" s="1585">
        <f t="shared" si="337"/>
        <v>42.7</v>
      </c>
      <c r="AM467" s="1993" t="s">
        <v>163</v>
      </c>
      <c r="AN467" s="1743">
        <f t="shared" si="338"/>
        <v>280</v>
      </c>
      <c r="AO467" s="858">
        <f t="shared" si="339"/>
        <v>280</v>
      </c>
      <c r="AP467" s="2100" t="s">
        <v>79</v>
      </c>
      <c r="AQ467" s="1801">
        <f t="shared" si="340"/>
        <v>55.7</v>
      </c>
      <c r="AR467" s="856">
        <f t="shared" si="341"/>
        <v>44.45</v>
      </c>
    </row>
    <row r="468" spans="2:48">
      <c r="B468" s="156" t="s">
        <v>182</v>
      </c>
      <c r="C468" s="283" t="s">
        <v>179</v>
      </c>
      <c r="D468" s="300" t="s">
        <v>515</v>
      </c>
      <c r="E468" s="192" t="s">
        <v>221</v>
      </c>
      <c r="F468" s="233">
        <v>6.78</v>
      </c>
      <c r="G468" s="310">
        <v>6.1</v>
      </c>
      <c r="H468" s="241" t="s">
        <v>108</v>
      </c>
      <c r="I468" s="233">
        <v>2.2999999999999998</v>
      </c>
      <c r="J468" s="235">
        <v>2.2999999999999998</v>
      </c>
      <c r="K468" s="249" t="s">
        <v>93</v>
      </c>
      <c r="L468" s="251">
        <v>17.600000000000001</v>
      </c>
      <c r="M468" s="255">
        <v>16.5</v>
      </c>
      <c r="O468" s="556" t="s">
        <v>895</v>
      </c>
      <c r="P468" s="1568">
        <f t="shared" ref="P468:U468" si="346">AB483</f>
        <v>0</v>
      </c>
      <c r="Q468" s="1569">
        <f t="shared" si="346"/>
        <v>0</v>
      </c>
      <c r="R468" s="1724">
        <f t="shared" si="346"/>
        <v>94.914999999999992</v>
      </c>
      <c r="S468" s="1569">
        <f t="shared" si="346"/>
        <v>81.5</v>
      </c>
      <c r="T468" s="1724">
        <f t="shared" si="346"/>
        <v>0</v>
      </c>
      <c r="U468" s="1569">
        <f t="shared" si="346"/>
        <v>0</v>
      </c>
      <c r="V468" s="1724">
        <f t="shared" si="332"/>
        <v>94.914999999999992</v>
      </c>
      <c r="W468" s="1586">
        <f t="shared" si="333"/>
        <v>81.5</v>
      </c>
      <c r="X468" s="1724">
        <f t="shared" si="334"/>
        <v>94.914999999999992</v>
      </c>
      <c r="Y468" s="1585">
        <f t="shared" si="335"/>
        <v>81.5</v>
      </c>
      <c r="AA468" s="125" t="s">
        <v>86</v>
      </c>
      <c r="AB468" s="1789"/>
      <c r="AC468" s="1960"/>
      <c r="AD468" s="1789">
        <f>F484</f>
        <v>64.2</v>
      </c>
      <c r="AE468" s="1598">
        <f>G484</f>
        <v>49.13</v>
      </c>
      <c r="AF468" s="1789"/>
      <c r="AG468" s="1681"/>
      <c r="AH468" s="1789">
        <f t="shared" si="343"/>
        <v>64.2</v>
      </c>
      <c r="AI468" s="1586">
        <f t="shared" si="336"/>
        <v>49.13</v>
      </c>
      <c r="AJ468" s="1789">
        <f t="shared" si="336"/>
        <v>64.2</v>
      </c>
      <c r="AK468" s="1585">
        <f t="shared" si="337"/>
        <v>49.13</v>
      </c>
      <c r="AM468" s="560" t="s">
        <v>895</v>
      </c>
      <c r="AN468" s="1743">
        <f t="shared" si="338"/>
        <v>94.914999999999992</v>
      </c>
      <c r="AO468" s="858">
        <f t="shared" si="339"/>
        <v>81.5</v>
      </c>
      <c r="AP468" s="2100" t="s">
        <v>86</v>
      </c>
      <c r="AQ468" s="1801">
        <f t="shared" si="340"/>
        <v>64.2</v>
      </c>
      <c r="AR468" s="856">
        <f t="shared" si="341"/>
        <v>49.13</v>
      </c>
    </row>
    <row r="469" spans="2:48">
      <c r="B469" s="168"/>
      <c r="C469" s="1099" t="s">
        <v>507</v>
      </c>
      <c r="D469" s="341"/>
      <c r="E469" s="1044" t="s">
        <v>183</v>
      </c>
      <c r="F469" s="256">
        <v>2.1</v>
      </c>
      <c r="G469" s="482">
        <v>2</v>
      </c>
      <c r="H469" s="192" t="s">
        <v>112</v>
      </c>
      <c r="I469" s="271">
        <v>1</v>
      </c>
      <c r="J469" s="247">
        <v>1</v>
      </c>
      <c r="K469" s="249" t="s">
        <v>80</v>
      </c>
      <c r="L469" s="233">
        <v>3.3</v>
      </c>
      <c r="M469" s="247">
        <v>3.3</v>
      </c>
      <c r="O469" s="1613" t="s">
        <v>894</v>
      </c>
      <c r="P469" s="1568">
        <f t="shared" ref="P469:U469" si="347">AB487</f>
        <v>0</v>
      </c>
      <c r="Q469" s="1586">
        <f t="shared" si="347"/>
        <v>0</v>
      </c>
      <c r="R469" s="1724">
        <f t="shared" si="347"/>
        <v>0</v>
      </c>
      <c r="S469" s="1586">
        <f t="shared" si="347"/>
        <v>0</v>
      </c>
      <c r="T469" s="1724">
        <f t="shared" si="347"/>
        <v>0</v>
      </c>
      <c r="U469" s="1586">
        <f t="shared" si="347"/>
        <v>0</v>
      </c>
      <c r="V469" s="1724">
        <f t="shared" si="332"/>
        <v>0</v>
      </c>
      <c r="W469" s="1586">
        <f t="shared" si="333"/>
        <v>0</v>
      </c>
      <c r="X469" s="1724">
        <f t="shared" si="334"/>
        <v>0</v>
      </c>
      <c r="Y469" s="1585">
        <f t="shared" si="335"/>
        <v>0</v>
      </c>
      <c r="AA469" s="125" t="s">
        <v>160</v>
      </c>
      <c r="AB469" s="1789">
        <f>I478</f>
        <v>67.8</v>
      </c>
      <c r="AC469" s="1961">
        <f>J478</f>
        <v>60</v>
      </c>
      <c r="AD469" s="1789"/>
      <c r="AE469" s="1598"/>
      <c r="AF469" s="1789"/>
      <c r="AG469" s="1681"/>
      <c r="AH469" s="1789">
        <f t="shared" si="343"/>
        <v>67.8</v>
      </c>
      <c r="AI469" s="1586">
        <f t="shared" si="336"/>
        <v>60</v>
      </c>
      <c r="AJ469" s="1789">
        <f t="shared" si="336"/>
        <v>0</v>
      </c>
      <c r="AK469" s="1585">
        <f t="shared" si="337"/>
        <v>0</v>
      </c>
      <c r="AM469" s="1944" t="s">
        <v>894</v>
      </c>
      <c r="AN469" s="1743">
        <f t="shared" si="338"/>
        <v>0</v>
      </c>
      <c r="AO469" s="858">
        <f t="shared" si="339"/>
        <v>0</v>
      </c>
      <c r="AP469" s="2100" t="s">
        <v>160</v>
      </c>
      <c r="AQ469" s="1801">
        <f t="shared" si="340"/>
        <v>67.8</v>
      </c>
      <c r="AR469" s="856">
        <f t="shared" si="341"/>
        <v>60</v>
      </c>
    </row>
    <row r="470" spans="2:48">
      <c r="B470" s="1045" t="s">
        <v>323</v>
      </c>
      <c r="C470" s="1543" t="s">
        <v>421</v>
      </c>
      <c r="D470" s="1046" t="s">
        <v>516</v>
      </c>
      <c r="E470" s="192" t="s">
        <v>93</v>
      </c>
      <c r="F470" s="233">
        <v>9.1999999999999993</v>
      </c>
      <c r="G470" s="310">
        <v>9.1999999999999993</v>
      </c>
      <c r="H470" s="192" t="s">
        <v>226</v>
      </c>
      <c r="I470" s="233">
        <v>0.69</v>
      </c>
      <c r="J470" s="235">
        <v>0.69</v>
      </c>
      <c r="K470" s="192" t="s">
        <v>61</v>
      </c>
      <c r="L470" s="1053">
        <v>0.8</v>
      </c>
      <c r="M470" s="1054">
        <v>0.8</v>
      </c>
      <c r="O470" s="1613" t="s">
        <v>150</v>
      </c>
      <c r="P470" s="1930">
        <f>F467</f>
        <v>154.76499999999999</v>
      </c>
      <c r="Q470" s="1586">
        <f>G467</f>
        <v>108.5</v>
      </c>
      <c r="R470" s="1724"/>
      <c r="S470" s="1569"/>
      <c r="T470" s="1727"/>
      <c r="U470" s="1569"/>
      <c r="V470" s="1724">
        <f t="shared" si="332"/>
        <v>154.76499999999999</v>
      </c>
      <c r="W470" s="1586">
        <f t="shared" si="333"/>
        <v>108.5</v>
      </c>
      <c r="X470" s="1724">
        <f t="shared" si="334"/>
        <v>0</v>
      </c>
      <c r="Y470" s="1585">
        <f t="shared" si="335"/>
        <v>0</v>
      </c>
      <c r="AA470" s="125" t="s">
        <v>157</v>
      </c>
      <c r="AB470" s="2048"/>
      <c r="AC470" s="1961"/>
      <c r="AD470" s="1969">
        <f>I494</f>
        <v>67.8</v>
      </c>
      <c r="AE470" s="1598">
        <f>J494</f>
        <v>60</v>
      </c>
      <c r="AF470" s="1789"/>
      <c r="AG470" s="1681"/>
      <c r="AH470" s="1789">
        <f t="shared" si="343"/>
        <v>67.8</v>
      </c>
      <c r="AI470" s="1586">
        <f t="shared" si="336"/>
        <v>60</v>
      </c>
      <c r="AJ470" s="1789">
        <f t="shared" si="336"/>
        <v>67.8</v>
      </c>
      <c r="AK470" s="1585">
        <f t="shared" si="337"/>
        <v>60</v>
      </c>
      <c r="AM470" s="1944" t="s">
        <v>150</v>
      </c>
      <c r="AN470" s="1743">
        <f t="shared" si="338"/>
        <v>154.76499999999999</v>
      </c>
      <c r="AO470" s="858">
        <f t="shared" si="339"/>
        <v>108.5</v>
      </c>
      <c r="AP470" s="2100" t="s">
        <v>157</v>
      </c>
      <c r="AQ470" s="1801">
        <f t="shared" si="340"/>
        <v>67.8</v>
      </c>
      <c r="AR470" s="856">
        <f t="shared" si="341"/>
        <v>60</v>
      </c>
    </row>
    <row r="471" spans="2:48">
      <c r="B471" s="404" t="s">
        <v>213</v>
      </c>
      <c r="C471" s="1544" t="s">
        <v>649</v>
      </c>
      <c r="D471" s="71"/>
      <c r="E471" s="192" t="s">
        <v>225</v>
      </c>
      <c r="F471" s="271" t="s">
        <v>992</v>
      </c>
      <c r="G471" s="310">
        <v>4</v>
      </c>
      <c r="H471" s="241" t="s">
        <v>94</v>
      </c>
      <c r="I471" s="256">
        <v>6.9</v>
      </c>
      <c r="J471" s="257">
        <v>6.9</v>
      </c>
      <c r="K471" s="897" t="s">
        <v>422</v>
      </c>
      <c r="L471" s="329"/>
      <c r="M471" s="330"/>
      <c r="O471" s="1613" t="s">
        <v>75</v>
      </c>
      <c r="P471" s="1568"/>
      <c r="Q471" s="1569"/>
      <c r="R471" s="1724"/>
      <c r="S471" s="1569"/>
      <c r="T471" s="1724"/>
      <c r="U471" s="1569"/>
      <c r="V471" s="1724">
        <f t="shared" si="332"/>
        <v>0</v>
      </c>
      <c r="W471" s="1586">
        <f t="shared" si="333"/>
        <v>0</v>
      </c>
      <c r="X471" s="1724">
        <f t="shared" si="334"/>
        <v>0</v>
      </c>
      <c r="Y471" s="1585">
        <f t="shared" si="335"/>
        <v>0</v>
      </c>
      <c r="AA471" s="125" t="s">
        <v>156</v>
      </c>
      <c r="AB471" s="444"/>
      <c r="AC471" s="1960"/>
      <c r="AD471" s="1789"/>
      <c r="AE471" s="1598"/>
      <c r="AF471" s="1789"/>
      <c r="AG471" s="1681"/>
      <c r="AH471" s="1789">
        <f t="shared" si="343"/>
        <v>0</v>
      </c>
      <c r="AI471" s="1586">
        <f t="shared" si="336"/>
        <v>0</v>
      </c>
      <c r="AJ471" s="1789">
        <f t="shared" si="336"/>
        <v>0</v>
      </c>
      <c r="AK471" s="1585">
        <f t="shared" si="337"/>
        <v>0</v>
      </c>
      <c r="AM471" s="1944" t="s">
        <v>75</v>
      </c>
      <c r="AN471" s="1743">
        <f t="shared" si="338"/>
        <v>0</v>
      </c>
      <c r="AO471" s="858">
        <f t="shared" si="339"/>
        <v>0</v>
      </c>
      <c r="AP471" s="2100" t="s">
        <v>156</v>
      </c>
      <c r="AQ471" s="1801">
        <f t="shared" si="340"/>
        <v>0</v>
      </c>
      <c r="AR471" s="856">
        <f t="shared" si="341"/>
        <v>0</v>
      </c>
    </row>
    <row r="472" spans="2:48" ht="15.75" thickBot="1">
      <c r="B472" s="246" t="s">
        <v>9</v>
      </c>
      <c r="C472" s="241" t="s">
        <v>151</v>
      </c>
      <c r="D472" s="239">
        <v>200</v>
      </c>
      <c r="E472" s="192" t="s">
        <v>226</v>
      </c>
      <c r="F472" s="233">
        <v>5.19</v>
      </c>
      <c r="G472" s="193">
        <v>5.19</v>
      </c>
      <c r="H472" s="241" t="s">
        <v>227</v>
      </c>
      <c r="I472" s="233">
        <v>2.0000000000000001E-4</v>
      </c>
      <c r="J472" s="235">
        <v>2.0000000000000001E-4</v>
      </c>
      <c r="K472" s="185" t="s">
        <v>172</v>
      </c>
      <c r="L472" s="898">
        <v>99.4</v>
      </c>
      <c r="M472" s="247">
        <v>79.8</v>
      </c>
      <c r="O472" s="1613" t="s">
        <v>68</v>
      </c>
      <c r="P472" s="2133">
        <f>F470+L468</f>
        <v>26.8</v>
      </c>
      <c r="Q472" s="1586">
        <f>G470+M468</f>
        <v>25.7</v>
      </c>
      <c r="R472" s="1970"/>
      <c r="S472" s="2021"/>
      <c r="T472" s="1966">
        <f>I498</f>
        <v>14.2</v>
      </c>
      <c r="U472" s="1586">
        <f>J498</f>
        <v>14.2</v>
      </c>
      <c r="V472" s="1724">
        <f t="shared" si="332"/>
        <v>26.8</v>
      </c>
      <c r="W472" s="1586">
        <f t="shared" si="333"/>
        <v>25.7</v>
      </c>
      <c r="X472" s="1724">
        <f t="shared" si="334"/>
        <v>14.2</v>
      </c>
      <c r="Y472" s="1585">
        <f t="shared" si="335"/>
        <v>14.2</v>
      </c>
      <c r="AA472" s="2004" t="s">
        <v>495</v>
      </c>
      <c r="AB472" s="1779"/>
      <c r="AC472" s="2024"/>
      <c r="AD472" s="1790"/>
      <c r="AE472" s="2005"/>
      <c r="AF472" s="1790"/>
      <c r="AG472" s="2006"/>
      <c r="AH472" s="1790">
        <f t="shared" si="343"/>
        <v>0</v>
      </c>
      <c r="AI472" s="1590">
        <f t="shared" si="336"/>
        <v>0</v>
      </c>
      <c r="AJ472" s="1790">
        <f t="shared" si="336"/>
        <v>0</v>
      </c>
      <c r="AK472" s="1814">
        <f t="shared" si="337"/>
        <v>0</v>
      </c>
      <c r="AM472" s="1944" t="s">
        <v>68</v>
      </c>
      <c r="AN472" s="2091">
        <f>P472+R472+T472</f>
        <v>41</v>
      </c>
      <c r="AO472" s="858">
        <f t="shared" si="339"/>
        <v>39.9</v>
      </c>
      <c r="AP472" s="2145" t="s">
        <v>545</v>
      </c>
      <c r="AQ472" s="2146">
        <f t="shared" si="340"/>
        <v>0</v>
      </c>
      <c r="AR472" s="856">
        <f t="shared" si="341"/>
        <v>0</v>
      </c>
    </row>
    <row r="473" spans="2:48" ht="15.75" thickBot="1">
      <c r="B473" s="289" t="s">
        <v>10</v>
      </c>
      <c r="C473" s="241" t="s">
        <v>11</v>
      </c>
      <c r="D473" s="239">
        <v>40</v>
      </c>
      <c r="E473" s="192" t="s">
        <v>116</v>
      </c>
      <c r="F473" s="251">
        <v>8.01</v>
      </c>
      <c r="G473" s="268">
        <v>8.01</v>
      </c>
      <c r="H473" s="241" t="s">
        <v>97</v>
      </c>
      <c r="I473" s="271">
        <v>0.1</v>
      </c>
      <c r="J473" s="235">
        <v>0.1</v>
      </c>
      <c r="K473" s="185" t="s">
        <v>103</v>
      </c>
      <c r="L473" s="256">
        <v>2.8</v>
      </c>
      <c r="M473" s="257">
        <v>2.8</v>
      </c>
      <c r="N473" s="496"/>
      <c r="O473" s="1613" t="s">
        <v>170</v>
      </c>
      <c r="P473" s="1568"/>
      <c r="Q473" s="1569"/>
      <c r="R473" s="1724"/>
      <c r="S473" s="1569"/>
      <c r="T473" s="1724"/>
      <c r="U473" s="1569"/>
      <c r="V473" s="1724">
        <f t="shared" si="332"/>
        <v>0</v>
      </c>
      <c r="W473" s="1586">
        <f t="shared" si="333"/>
        <v>0</v>
      </c>
      <c r="X473" s="1724">
        <f t="shared" si="334"/>
        <v>0</v>
      </c>
      <c r="Y473" s="1585">
        <f t="shared" si="335"/>
        <v>0</v>
      </c>
      <c r="AA473" s="2013" t="s">
        <v>96</v>
      </c>
      <c r="AB473" s="2084">
        <f t="shared" ref="AB473" si="348">SUM(AB458:AB472)</f>
        <v>189.26</v>
      </c>
      <c r="AC473" s="2049">
        <f>SUM(AC458:AC472)</f>
        <v>159.65</v>
      </c>
      <c r="AD473" s="1964">
        <f t="shared" ref="AD473" si="349">SUM(AD458:AD472)</f>
        <v>189.7</v>
      </c>
      <c r="AE473" s="2012">
        <f>SUM(AE458:AE472)</f>
        <v>156.53</v>
      </c>
      <c r="AF473" s="1964">
        <f t="shared" ref="AF473" si="350">SUM(AF458:AF472)</f>
        <v>38.700000000000003</v>
      </c>
      <c r="AG473" s="2012">
        <f>SUM(AG458:AG472)</f>
        <v>31.5</v>
      </c>
      <c r="AH473" s="1964">
        <f>AB473+AD473</f>
        <v>378.96</v>
      </c>
      <c r="AI473" s="2015">
        <f>AC473+AE473</f>
        <v>316.18</v>
      </c>
      <c r="AJ473" s="1964">
        <f>AD473+AF473</f>
        <v>228.39999999999998</v>
      </c>
      <c r="AK473" s="1717">
        <f>SUM(AK458:AK472)</f>
        <v>188.03</v>
      </c>
      <c r="AM473" s="1944" t="s">
        <v>170</v>
      </c>
      <c r="AN473" s="1743">
        <f t="shared" ref="AN473:AN487" si="351">P473+R473+T473</f>
        <v>0</v>
      </c>
      <c r="AO473" s="857">
        <f t="shared" si="339"/>
        <v>0</v>
      </c>
      <c r="AP473" s="2013" t="s">
        <v>96</v>
      </c>
      <c r="AQ473" s="2142">
        <f t="shared" si="340"/>
        <v>417.65999999999997</v>
      </c>
      <c r="AR473" s="856">
        <f t="shared" si="341"/>
        <v>347.68</v>
      </c>
    </row>
    <row r="474" spans="2:48" ht="15.75" thickBot="1">
      <c r="B474" s="289" t="s">
        <v>10</v>
      </c>
      <c r="C474" s="241" t="s">
        <v>792</v>
      </c>
      <c r="D474" s="239">
        <v>30</v>
      </c>
      <c r="E474" s="192" t="s">
        <v>103</v>
      </c>
      <c r="F474" s="233">
        <v>10</v>
      </c>
      <c r="G474" s="310">
        <v>10</v>
      </c>
      <c r="H474" s="241" t="s">
        <v>347</v>
      </c>
      <c r="I474" s="233">
        <v>2.38</v>
      </c>
      <c r="J474" s="235">
        <v>2</v>
      </c>
      <c r="K474" s="185" t="s">
        <v>423</v>
      </c>
      <c r="L474" s="233">
        <v>4.2</v>
      </c>
      <c r="M474" s="235">
        <v>4.2</v>
      </c>
      <c r="O474" s="1613" t="s">
        <v>73</v>
      </c>
      <c r="P474" s="1568"/>
      <c r="Q474" s="1587"/>
      <c r="R474" s="1724"/>
      <c r="S474" s="1587"/>
      <c r="T474" s="1727"/>
      <c r="U474" s="1587"/>
      <c r="V474" s="1724">
        <f t="shared" si="332"/>
        <v>0</v>
      </c>
      <c r="W474" s="1586">
        <f t="shared" si="333"/>
        <v>0</v>
      </c>
      <c r="X474" s="1724">
        <f t="shared" si="334"/>
        <v>0</v>
      </c>
      <c r="Y474" s="1585">
        <f t="shared" si="335"/>
        <v>0</v>
      </c>
      <c r="AA474" s="2008" t="s">
        <v>166</v>
      </c>
      <c r="AB474" s="2105">
        <f>F468+F469+I469+I474+I478+L472+L474+L475+L476</f>
        <v>189.26</v>
      </c>
      <c r="AC474" s="1714">
        <f>G468+G469+J469+J474+J478+M472+M474+M475+M476</f>
        <v>159.64999999999998</v>
      </c>
      <c r="AD474" s="2107">
        <f>F484+F486+F487+F488+I487+I488+I489+I494</f>
        <v>189.7</v>
      </c>
      <c r="AE474" s="2055">
        <f>G484+G486+G487+G488+J487+J488+J489+J494</f>
        <v>156.53</v>
      </c>
      <c r="AF474" s="2109">
        <f>F499+F500</f>
        <v>38.700000000000003</v>
      </c>
      <c r="AG474" s="2009">
        <f>G499+G500</f>
        <v>31.5</v>
      </c>
      <c r="AH474" s="1825">
        <f t="shared" ref="AH474" si="352">AB474+AD474</f>
        <v>378.96</v>
      </c>
      <c r="AI474" s="2010"/>
      <c r="AJ474" s="1825">
        <f t="shared" ref="AJ474" si="353">AD474+AF474</f>
        <v>228.39999999999998</v>
      </c>
      <c r="AK474" s="2093"/>
      <c r="AM474" s="1944" t="s">
        <v>73</v>
      </c>
      <c r="AN474" s="1743">
        <f t="shared" si="351"/>
        <v>0</v>
      </c>
      <c r="AO474" s="857">
        <f t="shared" si="339"/>
        <v>0</v>
      </c>
      <c r="AP474" s="2104" t="s">
        <v>166</v>
      </c>
      <c r="AQ474" s="1800">
        <f t="shared" si="340"/>
        <v>417.65999999999997</v>
      </c>
      <c r="AR474" s="839"/>
    </row>
    <row r="475" spans="2:48" ht="15.75" thickBot="1">
      <c r="B475" s="61"/>
      <c r="C475" s="999"/>
      <c r="D475" s="71"/>
      <c r="E475" s="500" t="s">
        <v>61</v>
      </c>
      <c r="F475" s="251">
        <v>1</v>
      </c>
      <c r="G475" s="481">
        <v>1</v>
      </c>
      <c r="H475" s="283" t="s">
        <v>95</v>
      </c>
      <c r="I475" s="251">
        <v>0.2</v>
      </c>
      <c r="J475" s="255">
        <v>0.2</v>
      </c>
      <c r="K475" s="270" t="s">
        <v>79</v>
      </c>
      <c r="L475" s="271">
        <v>2.1</v>
      </c>
      <c r="M475" s="235">
        <v>1.75</v>
      </c>
      <c r="O475" s="1613" t="s">
        <v>54</v>
      </c>
      <c r="P475" s="1568"/>
      <c r="Q475" s="1587"/>
      <c r="R475" s="1966"/>
      <c r="S475" s="1587"/>
      <c r="T475" s="1724"/>
      <c r="U475" s="1587"/>
      <c r="V475" s="1724">
        <f t="shared" si="332"/>
        <v>0</v>
      </c>
      <c r="W475" s="1586">
        <f t="shared" si="333"/>
        <v>0</v>
      </c>
      <c r="X475" s="1724">
        <f t="shared" si="334"/>
        <v>0</v>
      </c>
      <c r="Y475" s="1585">
        <f t="shared" si="335"/>
        <v>0</v>
      </c>
      <c r="AA475" s="2094" t="s">
        <v>878</v>
      </c>
      <c r="AB475" s="2095"/>
      <c r="AC475" s="2096"/>
      <c r="AD475" s="1778"/>
      <c r="AE475" s="1815"/>
      <c r="AF475" s="1778"/>
      <c r="AG475" s="2097"/>
      <c r="AH475" s="1788"/>
      <c r="AI475" s="2098"/>
      <c r="AJ475" s="1788"/>
      <c r="AK475" s="1603"/>
      <c r="AM475" s="1944" t="s">
        <v>54</v>
      </c>
      <c r="AN475" s="1743">
        <f t="shared" si="351"/>
        <v>0</v>
      </c>
      <c r="AO475" s="857">
        <f t="shared" si="339"/>
        <v>0</v>
      </c>
      <c r="AP475" s="2118" t="s">
        <v>878</v>
      </c>
      <c r="AQ475" s="1839">
        <f>AB475+AD475+AF475</f>
        <v>0</v>
      </c>
      <c r="AR475" s="752">
        <f>AC475+AE475+AG475</f>
        <v>0</v>
      </c>
    </row>
    <row r="476" spans="2:48" ht="15.75" thickBot="1">
      <c r="B476" s="61"/>
      <c r="C476" s="999"/>
      <c r="D476" s="71"/>
      <c r="E476" s="184"/>
      <c r="F476" s="184"/>
      <c r="G476" s="165"/>
      <c r="H476" s="263" t="s">
        <v>396</v>
      </c>
      <c r="I476" s="278"/>
      <c r="J476" s="50"/>
      <c r="K476" s="270" t="s">
        <v>130</v>
      </c>
      <c r="L476" s="233">
        <v>3.5</v>
      </c>
      <c r="M476" s="235">
        <v>2.8</v>
      </c>
      <c r="O476" s="1613" t="s">
        <v>78</v>
      </c>
      <c r="P476" s="2133">
        <f>I468</f>
        <v>2.2999999999999998</v>
      </c>
      <c r="Q476" s="1630">
        <f>J468</f>
        <v>2.2999999999999998</v>
      </c>
      <c r="R476" s="1724"/>
      <c r="S476" s="1587"/>
      <c r="T476" s="1724"/>
      <c r="U476" s="1587"/>
      <c r="V476" s="1724">
        <f t="shared" si="332"/>
        <v>2.2999999999999998</v>
      </c>
      <c r="W476" s="1586">
        <f t="shared" si="333"/>
        <v>2.2999999999999998</v>
      </c>
      <c r="X476" s="1724">
        <f t="shared" si="334"/>
        <v>0</v>
      </c>
      <c r="Y476" s="1585">
        <f t="shared" si="335"/>
        <v>0</v>
      </c>
      <c r="AA476" s="1873" t="s">
        <v>879</v>
      </c>
      <c r="AB476" s="1777"/>
      <c r="AC476" s="1878"/>
      <c r="AD476" s="1680">
        <f>L486+L493</f>
        <v>127.25</v>
      </c>
      <c r="AE476" s="1882">
        <f>M486+M493</f>
        <v>112</v>
      </c>
      <c r="AF476" s="1789"/>
      <c r="AG476" s="1886"/>
      <c r="AH476" s="1789">
        <f t="shared" ref="AH476:AH480" si="354">AB476+AD476</f>
        <v>127.25</v>
      </c>
      <c r="AI476" s="1890">
        <f>AC476+AE476</f>
        <v>112</v>
      </c>
      <c r="AJ476" s="1789">
        <f t="shared" ref="AJ476:AJ499" si="355">AD476+AF476</f>
        <v>127.25</v>
      </c>
      <c r="AK476" s="1893">
        <f>AE476+AG476</f>
        <v>112</v>
      </c>
      <c r="AM476" s="1944" t="s">
        <v>78</v>
      </c>
      <c r="AN476" s="1743">
        <f t="shared" si="351"/>
        <v>2.2999999999999998</v>
      </c>
      <c r="AO476" s="1047">
        <f t="shared" si="339"/>
        <v>2.2999999999999998</v>
      </c>
      <c r="AP476" s="1660" t="s">
        <v>879</v>
      </c>
      <c r="AQ476" s="1840">
        <f>AB476+AD476+AF476</f>
        <v>127.25</v>
      </c>
      <c r="AR476" s="1667">
        <f>AC476+AE476+AG476</f>
        <v>112</v>
      </c>
    </row>
    <row r="477" spans="2:48" ht="15.75" thickBot="1">
      <c r="B477" s="61"/>
      <c r="C477" s="999"/>
      <c r="D477" s="71"/>
      <c r="H477" s="263" t="s">
        <v>118</v>
      </c>
      <c r="I477" s="97" t="s">
        <v>119</v>
      </c>
      <c r="J477" s="406" t="s">
        <v>120</v>
      </c>
      <c r="K477" s="409" t="s">
        <v>425</v>
      </c>
      <c r="L477" s="233">
        <v>5.5999999999999999E-3</v>
      </c>
      <c r="M477" s="235">
        <v>5.5999999999999999E-3</v>
      </c>
      <c r="O477" s="1613" t="s">
        <v>95</v>
      </c>
      <c r="P477" s="2133">
        <f>I475+L469</f>
        <v>3.5</v>
      </c>
      <c r="Q477" s="1586">
        <f>J475+M469</f>
        <v>3.5</v>
      </c>
      <c r="R477" s="1724">
        <f>F490</f>
        <v>5</v>
      </c>
      <c r="S477" s="2021">
        <f>G490</f>
        <v>5</v>
      </c>
      <c r="T477" s="1724">
        <f>F501+I499</f>
        <v>3.1</v>
      </c>
      <c r="U477" s="1586">
        <f>G501+J499</f>
        <v>3.1</v>
      </c>
      <c r="V477" s="1724">
        <f t="shared" si="332"/>
        <v>8.5</v>
      </c>
      <c r="W477" s="1586">
        <f t="shared" si="333"/>
        <v>8.5</v>
      </c>
      <c r="X477" s="1724">
        <f t="shared" si="334"/>
        <v>8.1</v>
      </c>
      <c r="Y477" s="1585">
        <f t="shared" si="335"/>
        <v>8.1</v>
      </c>
      <c r="AA477" s="1874" t="s">
        <v>880</v>
      </c>
      <c r="AB477" s="1782"/>
      <c r="AC477" s="1879"/>
      <c r="AD477" s="444"/>
      <c r="AE477" s="1883"/>
      <c r="AF477" s="1793"/>
      <c r="AG477" s="1887"/>
      <c r="AH477" s="1789">
        <f t="shared" si="354"/>
        <v>0</v>
      </c>
      <c r="AI477" s="1890">
        <f>AC477+AE477</f>
        <v>0</v>
      </c>
      <c r="AJ477" s="1789">
        <f t="shared" si="355"/>
        <v>0</v>
      </c>
      <c r="AK477" s="1893">
        <f>AE477+AG477</f>
        <v>0</v>
      </c>
      <c r="AM477" s="1944" t="s">
        <v>95</v>
      </c>
      <c r="AN477" s="1743">
        <f t="shared" si="351"/>
        <v>11.6</v>
      </c>
      <c r="AO477" s="1047">
        <f t="shared" si="339"/>
        <v>11.6</v>
      </c>
      <c r="AP477" s="1661" t="s">
        <v>880</v>
      </c>
      <c r="AQ477" s="1840">
        <f t="shared" ref="AQ477:AQ479" si="356">AB477+AD477+AF477</f>
        <v>0</v>
      </c>
      <c r="AR477" s="1667">
        <f t="shared" ref="AR477:AR479" si="357">AC477+AE477+AG477</f>
        <v>0</v>
      </c>
    </row>
    <row r="478" spans="2:48">
      <c r="B478" s="1002"/>
      <c r="C478" s="756"/>
      <c r="D478" s="36"/>
      <c r="H478" s="324" t="s">
        <v>160</v>
      </c>
      <c r="I478" s="899">
        <v>67.8</v>
      </c>
      <c r="J478" s="408">
        <v>60</v>
      </c>
      <c r="K478" s="192" t="s">
        <v>92</v>
      </c>
      <c r="L478" s="233">
        <v>0.7</v>
      </c>
      <c r="M478" s="235">
        <v>0.7</v>
      </c>
      <c r="O478" s="1613" t="s">
        <v>103</v>
      </c>
      <c r="P478" s="1568">
        <f>F474+L473</f>
        <v>12.8</v>
      </c>
      <c r="Q478" s="1569">
        <f>G474+M473</f>
        <v>12.8</v>
      </c>
      <c r="R478" s="1724">
        <f>I486</f>
        <v>7</v>
      </c>
      <c r="S478" s="1569">
        <f>J486</f>
        <v>7</v>
      </c>
      <c r="T478" s="1724">
        <f>F503</f>
        <v>4</v>
      </c>
      <c r="U478" s="1569">
        <f>G503</f>
        <v>4</v>
      </c>
      <c r="V478" s="1724">
        <f t="shared" si="332"/>
        <v>19.8</v>
      </c>
      <c r="W478" s="1586">
        <f t="shared" si="333"/>
        <v>19.8</v>
      </c>
      <c r="X478" s="1724">
        <f t="shared" si="334"/>
        <v>11</v>
      </c>
      <c r="Y478" s="1585">
        <f t="shared" si="335"/>
        <v>11</v>
      </c>
      <c r="AA478" s="1875" t="s">
        <v>881</v>
      </c>
      <c r="AB478" s="1782"/>
      <c r="AC478" s="1879"/>
      <c r="AD478" s="444"/>
      <c r="AE478" s="1883"/>
      <c r="AF478" s="1789"/>
      <c r="AG478" s="1887"/>
      <c r="AH478" s="1789">
        <f t="shared" si="354"/>
        <v>0</v>
      </c>
      <c r="AI478" s="1890">
        <f>AC478+AE478</f>
        <v>0</v>
      </c>
      <c r="AJ478" s="1789">
        <f t="shared" si="355"/>
        <v>0</v>
      </c>
      <c r="AK478" s="1893">
        <f>AE478+AG478</f>
        <v>0</v>
      </c>
      <c r="AM478" s="1944" t="s">
        <v>103</v>
      </c>
      <c r="AN478" s="1743">
        <f t="shared" si="351"/>
        <v>23.8</v>
      </c>
      <c r="AO478" s="1047">
        <f t="shared" si="339"/>
        <v>23.8</v>
      </c>
      <c r="AP478" s="1662" t="s">
        <v>881</v>
      </c>
      <c r="AQ478" s="1840">
        <f t="shared" si="356"/>
        <v>0</v>
      </c>
      <c r="AR478" s="1667">
        <f t="shared" si="357"/>
        <v>0</v>
      </c>
    </row>
    <row r="479" spans="2:48" ht="15.75" thickBot="1">
      <c r="B479" s="61"/>
      <c r="C479" s="999"/>
      <c r="D479" s="71"/>
      <c r="H479" s="474"/>
      <c r="I479" s="900"/>
      <c r="J479" s="165"/>
      <c r="K479" s="851" t="s">
        <v>57</v>
      </c>
      <c r="L479" s="251">
        <v>2.1</v>
      </c>
      <c r="M479" s="323">
        <v>2.1</v>
      </c>
      <c r="O479" s="1613" t="s">
        <v>906</v>
      </c>
      <c r="P479" s="2133">
        <f>Q479/1000/0.04</f>
        <v>0.1</v>
      </c>
      <c r="Q479" s="1586">
        <f>G471</f>
        <v>4</v>
      </c>
      <c r="R479" s="1724"/>
      <c r="S479" s="1586"/>
      <c r="T479" s="1979"/>
      <c r="U479" s="1586"/>
      <c r="V479" s="1724">
        <f t="shared" si="332"/>
        <v>0.1</v>
      </c>
      <c r="W479" s="1586">
        <f t="shared" si="333"/>
        <v>4</v>
      </c>
      <c r="X479" s="1724">
        <f t="shared" si="334"/>
        <v>0</v>
      </c>
      <c r="Y479" s="1585">
        <f t="shared" si="335"/>
        <v>0</v>
      </c>
      <c r="AA479" s="1876" t="s">
        <v>882</v>
      </c>
      <c r="AB479" s="1783"/>
      <c r="AC479" s="1880"/>
      <c r="AD479" s="1779"/>
      <c r="AE479" s="1884"/>
      <c r="AF479" s="1790">
        <f>L502</f>
        <v>7.5</v>
      </c>
      <c r="AG479" s="1888">
        <f>M502</f>
        <v>7</v>
      </c>
      <c r="AH479" s="1790">
        <f t="shared" si="354"/>
        <v>0</v>
      </c>
      <c r="AI479" s="1891"/>
      <c r="AJ479" s="1812">
        <f t="shared" si="355"/>
        <v>7.5</v>
      </c>
      <c r="AK479" s="2046"/>
      <c r="AM479" s="1944" t="s">
        <v>162</v>
      </c>
      <c r="AN479" s="1743">
        <f t="shared" si="351"/>
        <v>0.1</v>
      </c>
      <c r="AO479" s="1047">
        <f t="shared" si="339"/>
        <v>4</v>
      </c>
      <c r="AP479" s="1707" t="s">
        <v>882</v>
      </c>
      <c r="AQ479" s="1840">
        <f t="shared" si="356"/>
        <v>7.5</v>
      </c>
      <c r="AR479" s="1667">
        <f t="shared" si="357"/>
        <v>7</v>
      </c>
    </row>
    <row r="480" spans="2:48" ht="15.75" thickBot="1">
      <c r="B480" s="61"/>
      <c r="C480" s="999"/>
      <c r="D480" s="71"/>
      <c r="H480" s="96"/>
      <c r="I480" s="46"/>
      <c r="J480" s="71"/>
      <c r="K480" s="340" t="s">
        <v>426</v>
      </c>
      <c r="L480" s="233">
        <v>6.3E-2</v>
      </c>
      <c r="M480" s="236">
        <v>6.3E-2</v>
      </c>
      <c r="O480" s="1613" t="s">
        <v>57</v>
      </c>
      <c r="P480" s="2134">
        <f>L479</f>
        <v>2.1</v>
      </c>
      <c r="Q480" s="1600">
        <f>M479</f>
        <v>2.1</v>
      </c>
      <c r="R480" s="1966">
        <f>F489+L485</f>
        <v>24</v>
      </c>
      <c r="S480" s="1586">
        <f>G489+M485</f>
        <v>24</v>
      </c>
      <c r="T480" s="1724">
        <f>L500</f>
        <v>6</v>
      </c>
      <c r="U480" s="1600">
        <f>M500</f>
        <v>6</v>
      </c>
      <c r="V480" s="1724">
        <f t="shared" si="332"/>
        <v>26.1</v>
      </c>
      <c r="W480" s="1586">
        <f t="shared" si="333"/>
        <v>26.1</v>
      </c>
      <c r="X480" s="1724">
        <f t="shared" si="334"/>
        <v>30</v>
      </c>
      <c r="Y480" s="1585">
        <f t="shared" si="335"/>
        <v>30</v>
      </c>
      <c r="AA480" s="1877" t="s">
        <v>883</v>
      </c>
      <c r="AB480" s="1896">
        <f>SUM(AB476:AB479)</f>
        <v>0</v>
      </c>
      <c r="AC480" s="1881">
        <f>AC476+AC477+AC478+AC479</f>
        <v>0</v>
      </c>
      <c r="AD480" s="1968">
        <f>AD476+AD477+AD478+AD479</f>
        <v>127.25</v>
      </c>
      <c r="AE480" s="1885">
        <f>AE476+AE477+AE478+AE479</f>
        <v>112</v>
      </c>
      <c r="AF480" s="1898">
        <f>SUM(AF476:AF479)</f>
        <v>7.5</v>
      </c>
      <c r="AG480" s="1889">
        <f>SUM(AG476:AG479)</f>
        <v>7</v>
      </c>
      <c r="AH480" s="1898">
        <f t="shared" si="354"/>
        <v>127.25</v>
      </c>
      <c r="AI480" s="1892">
        <f>AC480+AE480</f>
        <v>112</v>
      </c>
      <c r="AJ480" s="1898">
        <f t="shared" si="355"/>
        <v>134.75</v>
      </c>
      <c r="AK480" s="1895">
        <f>AE480+AG480</f>
        <v>119</v>
      </c>
      <c r="AM480" s="1944" t="s">
        <v>57</v>
      </c>
      <c r="AN480" s="1743">
        <f t="shared" si="351"/>
        <v>32.1</v>
      </c>
      <c r="AO480" s="1047">
        <f t="shared" si="339"/>
        <v>32.1</v>
      </c>
      <c r="AP480" s="1719" t="s">
        <v>883</v>
      </c>
      <c r="AQ480" s="2119">
        <f>AB480+AD480+AF480</f>
        <v>134.75</v>
      </c>
      <c r="AR480" s="2120">
        <f>AC480+AE480+AG480</f>
        <v>119</v>
      </c>
    </row>
    <row r="481" spans="2:44" ht="15.75" thickBot="1">
      <c r="B481" s="1139" t="s">
        <v>582</v>
      </c>
      <c r="C481" s="1136"/>
      <c r="D481" s="1137">
        <f>D467+D472+D473+D474+110+10+110+70</f>
        <v>630</v>
      </c>
      <c r="E481" s="29"/>
      <c r="F481" s="29"/>
      <c r="G481" s="29"/>
      <c r="H481" s="57"/>
      <c r="I481" s="29"/>
      <c r="J481" s="74"/>
      <c r="K481" s="314" t="s">
        <v>94</v>
      </c>
      <c r="L481" s="277">
        <v>2.0369999999999999</v>
      </c>
      <c r="M481" s="258">
        <v>2.0369999999999999</v>
      </c>
      <c r="O481" s="1613" t="s">
        <v>171</v>
      </c>
      <c r="P481" s="1568"/>
      <c r="Q481" s="1569"/>
      <c r="R481" s="1724"/>
      <c r="S481" s="1569"/>
      <c r="T481" s="1724"/>
      <c r="U481" s="1569"/>
      <c r="V481" s="1724">
        <f t="shared" si="332"/>
        <v>0</v>
      </c>
      <c r="W481" s="1586">
        <f t="shared" si="333"/>
        <v>0</v>
      </c>
      <c r="X481" s="1724">
        <f t="shared" si="334"/>
        <v>0</v>
      </c>
      <c r="Y481" s="1585">
        <f t="shared" si="335"/>
        <v>0</v>
      </c>
      <c r="AA481" s="1702" t="s">
        <v>896</v>
      </c>
      <c r="AB481" s="1784"/>
      <c r="AC481" s="2140">
        <f>J463</f>
        <v>0</v>
      </c>
      <c r="AD481" s="1788">
        <f>F494+I484</f>
        <v>94.914999999999992</v>
      </c>
      <c r="AE481" s="1704">
        <f>G494+J484</f>
        <v>81.5</v>
      </c>
      <c r="AF481" s="1784"/>
      <c r="AG481" s="1703"/>
      <c r="AH481" s="1788"/>
      <c r="AI481" s="1769">
        <f>AC481+AE481</f>
        <v>81.5</v>
      </c>
      <c r="AJ481" s="1788">
        <f t="shared" si="355"/>
        <v>94.914999999999992</v>
      </c>
      <c r="AK481" s="1806">
        <f>AE481+AG481</f>
        <v>81.5</v>
      </c>
      <c r="AM481" s="1944" t="s">
        <v>171</v>
      </c>
      <c r="AN481" s="1743">
        <f t="shared" si="351"/>
        <v>0</v>
      </c>
      <c r="AO481" s="1047">
        <f t="shared" si="339"/>
        <v>0</v>
      </c>
      <c r="AP481" s="2121" t="s">
        <v>389</v>
      </c>
      <c r="AQ481" s="2122">
        <f t="shared" ref="AQ481:AQ482" si="358">AB481+AD481+AF481</f>
        <v>94.914999999999992</v>
      </c>
      <c r="AR481" s="2123">
        <f t="shared" ref="AR481:AR482" si="359">AC481+AE481+AG481</f>
        <v>81.5</v>
      </c>
    </row>
    <row r="482" spans="2:44" ht="16.5" thickBot="1">
      <c r="B482" s="403"/>
      <c r="C482" s="162" t="s">
        <v>152</v>
      </c>
      <c r="D482" s="54"/>
      <c r="E482" s="825" t="s">
        <v>223</v>
      </c>
      <c r="F482" s="38"/>
      <c r="G482" s="50"/>
      <c r="H482" s="262" t="s">
        <v>204</v>
      </c>
      <c r="I482" s="38"/>
      <c r="J482" s="38"/>
      <c r="K482" s="1493" t="s">
        <v>650</v>
      </c>
      <c r="L482" s="1494"/>
      <c r="M482" s="738"/>
      <c r="O482" s="1613" t="s">
        <v>59</v>
      </c>
      <c r="P482" s="1568"/>
      <c r="Q482" s="1569"/>
      <c r="R482" s="1724"/>
      <c r="S482" s="1569"/>
      <c r="T482" s="1724">
        <f>L498</f>
        <v>1</v>
      </c>
      <c r="U482" s="1569">
        <f>M498</f>
        <v>1</v>
      </c>
      <c r="V482" s="1724">
        <f t="shared" si="332"/>
        <v>0</v>
      </c>
      <c r="W482" s="1586">
        <f t="shared" si="333"/>
        <v>0</v>
      </c>
      <c r="X482" s="1724">
        <f t="shared" si="334"/>
        <v>1</v>
      </c>
      <c r="Y482" s="1585">
        <f t="shared" si="335"/>
        <v>1</v>
      </c>
      <c r="AA482" s="1692" t="s">
        <v>897</v>
      </c>
      <c r="AB482" s="1783"/>
      <c r="AC482" s="1693"/>
      <c r="AD482" s="1790"/>
      <c r="AE482" s="2061"/>
      <c r="AF482" s="1783"/>
      <c r="AG482" s="1693"/>
      <c r="AH482" s="1790">
        <f t="shared" ref="AH482:AH499" si="360">AB482+AD482</f>
        <v>0</v>
      </c>
      <c r="AI482" s="1770">
        <f>AC482+AE482</f>
        <v>0</v>
      </c>
      <c r="AJ482" s="1790">
        <f t="shared" si="355"/>
        <v>0</v>
      </c>
      <c r="AK482" s="1807">
        <f>AE482+AG482</f>
        <v>0</v>
      </c>
      <c r="AM482" s="1944" t="s">
        <v>59</v>
      </c>
      <c r="AN482" s="1743">
        <f t="shared" si="351"/>
        <v>1</v>
      </c>
      <c r="AO482" s="1047">
        <f t="shared" si="339"/>
        <v>1</v>
      </c>
      <c r="AP482" s="1692" t="s">
        <v>188</v>
      </c>
      <c r="AQ482" s="1840">
        <f t="shared" si="358"/>
        <v>0</v>
      </c>
      <c r="AR482" s="1667">
        <f t="shared" si="359"/>
        <v>0</v>
      </c>
    </row>
    <row r="483" spans="2:44" ht="15.75" thickBot="1">
      <c r="B483" s="1184" t="s">
        <v>625</v>
      </c>
      <c r="C483" s="283" t="s">
        <v>406</v>
      </c>
      <c r="D483" s="166">
        <v>60</v>
      </c>
      <c r="E483" s="471" t="s">
        <v>118</v>
      </c>
      <c r="F483" s="102" t="s">
        <v>119</v>
      </c>
      <c r="G483" s="465" t="s">
        <v>120</v>
      </c>
      <c r="H483" s="319" t="s">
        <v>118</v>
      </c>
      <c r="I483" s="103" t="s">
        <v>119</v>
      </c>
      <c r="J483" s="136" t="s">
        <v>120</v>
      </c>
      <c r="K483" s="263" t="s">
        <v>118</v>
      </c>
      <c r="L483" s="97" t="s">
        <v>119</v>
      </c>
      <c r="M483" s="135" t="s">
        <v>120</v>
      </c>
      <c r="O483" s="1613" t="s">
        <v>169</v>
      </c>
      <c r="P483" s="1568"/>
      <c r="Q483" s="1569"/>
      <c r="R483" s="1724"/>
      <c r="S483" s="1569"/>
      <c r="T483" s="1724"/>
      <c r="U483" s="1569"/>
      <c r="V483" s="1724">
        <f t="shared" si="332"/>
        <v>0</v>
      </c>
      <c r="W483" s="1586">
        <f t="shared" si="333"/>
        <v>0</v>
      </c>
      <c r="X483" s="1724">
        <f t="shared" si="334"/>
        <v>0</v>
      </c>
      <c r="Y483" s="1585">
        <f t="shared" si="335"/>
        <v>0</v>
      </c>
      <c r="AA483" s="1721" t="s">
        <v>876</v>
      </c>
      <c r="AB483" s="1867">
        <f t="shared" ref="AB483" si="361">SUM(AB481:AB482)</f>
        <v>0</v>
      </c>
      <c r="AC483" s="2056">
        <f t="shared" ref="AC483" si="362">SUM(AC481:AC482)</f>
        <v>0</v>
      </c>
      <c r="AD483" s="1865">
        <f t="shared" ref="AD483" si="363">SUM(AD481:AD482)</f>
        <v>94.914999999999992</v>
      </c>
      <c r="AE483" s="1698">
        <f t="shared" ref="AE483" si="364">SUM(AE481:AE482)</f>
        <v>81.5</v>
      </c>
      <c r="AF483" s="1867">
        <f t="shared" ref="AF483" si="365">SUM(AF481:AF482)</f>
        <v>0</v>
      </c>
      <c r="AG483" s="1866">
        <f t="shared" ref="AG483" si="366">SUM(AG481:AG482)</f>
        <v>0</v>
      </c>
      <c r="AH483" s="1796">
        <f t="shared" si="360"/>
        <v>94.914999999999992</v>
      </c>
      <c r="AI483" s="1771">
        <f>AC483+AE483</f>
        <v>81.5</v>
      </c>
      <c r="AJ483" s="1796">
        <f t="shared" si="355"/>
        <v>94.914999999999992</v>
      </c>
      <c r="AK483" s="1699">
        <f>AE483+AG483</f>
        <v>81.5</v>
      </c>
      <c r="AM483" s="1944" t="s">
        <v>169</v>
      </c>
      <c r="AN483" s="1743">
        <f t="shared" si="351"/>
        <v>0</v>
      </c>
      <c r="AO483" s="1047">
        <f t="shared" si="339"/>
        <v>0</v>
      </c>
      <c r="AP483" s="1721" t="s">
        <v>876</v>
      </c>
      <c r="AQ483" s="2124">
        <f>AB483+AD483+AF483</f>
        <v>94.914999999999992</v>
      </c>
      <c r="AR483" s="2125">
        <f>AC483+AE483+AG483</f>
        <v>81.5</v>
      </c>
    </row>
    <row r="484" spans="2:44">
      <c r="B484" s="1522" t="s">
        <v>834</v>
      </c>
      <c r="C484" s="256" t="s">
        <v>223</v>
      </c>
      <c r="D484" s="410">
        <v>250</v>
      </c>
      <c r="E484" s="100" t="s">
        <v>86</v>
      </c>
      <c r="F484" s="128">
        <v>64.2</v>
      </c>
      <c r="G484" s="144">
        <v>49.13</v>
      </c>
      <c r="H484" s="320" t="s">
        <v>99</v>
      </c>
      <c r="I484" s="231">
        <v>91.97</v>
      </c>
      <c r="J484" s="1000">
        <v>79</v>
      </c>
      <c r="K484" s="98" t="s">
        <v>413</v>
      </c>
      <c r="L484" s="123">
        <v>14</v>
      </c>
      <c r="M484" s="309">
        <v>14</v>
      </c>
      <c r="O484" s="1613" t="s">
        <v>168</v>
      </c>
      <c r="P484" s="1568"/>
      <c r="Q484" s="1569"/>
      <c r="R484" s="1724"/>
      <c r="S484" s="1569"/>
      <c r="T484" s="1724"/>
      <c r="U484" s="1569"/>
      <c r="V484" s="1724">
        <f t="shared" si="332"/>
        <v>0</v>
      </c>
      <c r="W484" s="1586">
        <f t="shared" si="333"/>
        <v>0</v>
      </c>
      <c r="X484" s="1724">
        <f t="shared" si="334"/>
        <v>0</v>
      </c>
      <c r="Y484" s="1585">
        <f t="shared" si="335"/>
        <v>0</v>
      </c>
      <c r="AA484" s="1843" t="s">
        <v>387</v>
      </c>
      <c r="AB484" s="1900"/>
      <c r="AC484" s="1901"/>
      <c r="AD484" s="1899"/>
      <c r="AE484" s="1846"/>
      <c r="AF484" s="1900"/>
      <c r="AG484" s="1901"/>
      <c r="AH484" s="1788">
        <f t="shared" si="360"/>
        <v>0</v>
      </c>
      <c r="AI484" s="1852"/>
      <c r="AJ484" s="1788">
        <f t="shared" si="355"/>
        <v>0</v>
      </c>
      <c r="AK484" s="1856"/>
      <c r="AM484" s="1944" t="s">
        <v>168</v>
      </c>
      <c r="AN484" s="1743">
        <f t="shared" si="351"/>
        <v>0</v>
      </c>
      <c r="AO484" s="1047">
        <f t="shared" si="339"/>
        <v>0</v>
      </c>
      <c r="AP484" s="2126" t="s">
        <v>387</v>
      </c>
      <c r="AQ484" s="2122">
        <f t="shared" ref="AQ484:AQ486" si="367">AB484+AD484+AF484</f>
        <v>0</v>
      </c>
      <c r="AR484" s="2123">
        <f t="shared" ref="AR484:AR486" si="368">AC484+AE484+AG484</f>
        <v>0</v>
      </c>
    </row>
    <row r="485" spans="2:44">
      <c r="B485" s="156" t="s">
        <v>17</v>
      </c>
      <c r="C485" s="283" t="s">
        <v>113</v>
      </c>
      <c r="D485" s="166" t="s">
        <v>532</v>
      </c>
      <c r="E485" s="185" t="s">
        <v>52</v>
      </c>
      <c r="F485" s="233">
        <v>46.363999999999997</v>
      </c>
      <c r="G485" s="193">
        <v>34.6</v>
      </c>
      <c r="H485" s="270" t="s">
        <v>114</v>
      </c>
      <c r="I485" s="405">
        <v>47.6</v>
      </c>
      <c r="J485" s="1001">
        <v>47.6</v>
      </c>
      <c r="K485" s="185" t="s">
        <v>57</v>
      </c>
      <c r="L485" s="233">
        <v>22.8</v>
      </c>
      <c r="M485" s="247">
        <v>22.8</v>
      </c>
      <c r="O485" s="1613" t="s">
        <v>89</v>
      </c>
      <c r="P485" s="1568"/>
      <c r="Q485" s="1569"/>
      <c r="R485" s="1724"/>
      <c r="S485" s="1569"/>
      <c r="T485" s="1724"/>
      <c r="U485" s="1569"/>
      <c r="V485" s="1724">
        <f t="shared" si="332"/>
        <v>0</v>
      </c>
      <c r="W485" s="1586">
        <f t="shared" si="333"/>
        <v>0</v>
      </c>
      <c r="X485" s="1724">
        <f t="shared" si="334"/>
        <v>0</v>
      </c>
      <c r="Y485" s="1585">
        <f t="shared" si="335"/>
        <v>0</v>
      </c>
      <c r="AA485" s="1844" t="s">
        <v>121</v>
      </c>
      <c r="AB485" s="1902"/>
      <c r="AC485" s="1848"/>
      <c r="AD485" s="1965"/>
      <c r="AE485" s="1904"/>
      <c r="AF485" s="1902"/>
      <c r="AG485" s="1848"/>
      <c r="AH485" s="1789">
        <f t="shared" si="360"/>
        <v>0</v>
      </c>
      <c r="AI485" s="1853">
        <f>AC485+AE485</f>
        <v>0</v>
      </c>
      <c r="AJ485" s="1789">
        <f t="shared" si="355"/>
        <v>0</v>
      </c>
      <c r="AK485" s="1857">
        <f t="shared" ref="AK485:AK499" si="369">AE485+AG485</f>
        <v>0</v>
      </c>
      <c r="AM485" s="1944" t="s">
        <v>89</v>
      </c>
      <c r="AN485" s="1743">
        <f t="shared" si="351"/>
        <v>0</v>
      </c>
      <c r="AO485" s="1047">
        <f t="shared" si="339"/>
        <v>0</v>
      </c>
      <c r="AP485" s="1844" t="s">
        <v>121</v>
      </c>
      <c r="AQ485" s="1840">
        <f t="shared" si="367"/>
        <v>0</v>
      </c>
      <c r="AR485" s="1667">
        <f t="shared" si="368"/>
        <v>0</v>
      </c>
    </row>
    <row r="486" spans="2:44" ht="15.75" thickBot="1">
      <c r="B486" s="1548" t="s">
        <v>827</v>
      </c>
      <c r="C486" s="283" t="s">
        <v>650</v>
      </c>
      <c r="D486" s="166">
        <v>200</v>
      </c>
      <c r="E486" s="185" t="s">
        <v>79</v>
      </c>
      <c r="F486" s="233">
        <v>10</v>
      </c>
      <c r="G486" s="193">
        <v>8</v>
      </c>
      <c r="H486" s="270" t="s">
        <v>103</v>
      </c>
      <c r="I486" s="234">
        <v>7</v>
      </c>
      <c r="J486" s="308">
        <v>7</v>
      </c>
      <c r="K486" s="186" t="s">
        <v>312</v>
      </c>
      <c r="L486" s="233">
        <v>2.4</v>
      </c>
      <c r="M486" s="247">
        <v>2</v>
      </c>
      <c r="O486" s="1613" t="s">
        <v>61</v>
      </c>
      <c r="P486" s="1568">
        <f>F475+I473+L470</f>
        <v>1.9000000000000001</v>
      </c>
      <c r="Q486" s="1569">
        <f>G475+J473+M470</f>
        <v>1.9000000000000001</v>
      </c>
      <c r="R486" s="1966">
        <f>F491</f>
        <v>1.1000000000000001</v>
      </c>
      <c r="S486" s="1586">
        <f>G491</f>
        <v>1.1000000000000001</v>
      </c>
      <c r="T486" s="1727">
        <f>I502</f>
        <v>0.2</v>
      </c>
      <c r="U486" s="1569">
        <f>J502</f>
        <v>0.2</v>
      </c>
      <c r="V486" s="1724">
        <f>P486+R486</f>
        <v>3</v>
      </c>
      <c r="W486" s="1586">
        <f t="shared" si="333"/>
        <v>3</v>
      </c>
      <c r="X486" s="1724">
        <f t="shared" si="334"/>
        <v>1.3</v>
      </c>
      <c r="Y486" s="1585">
        <f t="shared" si="335"/>
        <v>1.3</v>
      </c>
      <c r="AA486" s="1845" t="s">
        <v>388</v>
      </c>
      <c r="AB486" s="1903"/>
      <c r="AC486" s="1868"/>
      <c r="AD486" s="1870"/>
      <c r="AE486" s="1905"/>
      <c r="AF486" s="1903"/>
      <c r="AG486" s="1868"/>
      <c r="AH486" s="1790">
        <f t="shared" si="360"/>
        <v>0</v>
      </c>
      <c r="AI486" s="1854">
        <f>AC486+AE486</f>
        <v>0</v>
      </c>
      <c r="AJ486" s="1790">
        <f t="shared" si="355"/>
        <v>0</v>
      </c>
      <c r="AK486" s="1858">
        <f t="shared" si="369"/>
        <v>0</v>
      </c>
      <c r="AM486" s="1944" t="s">
        <v>61</v>
      </c>
      <c r="AN486" s="1743">
        <f t="shared" si="351"/>
        <v>3.2</v>
      </c>
      <c r="AO486" s="1047">
        <f t="shared" si="339"/>
        <v>3.2</v>
      </c>
      <c r="AP486" s="1845" t="s">
        <v>388</v>
      </c>
      <c r="AQ486" s="1840">
        <f t="shared" si="367"/>
        <v>0</v>
      </c>
      <c r="AR486" s="1667">
        <f t="shared" si="368"/>
        <v>0</v>
      </c>
    </row>
    <row r="487" spans="2:44" ht="15.75" thickBot="1">
      <c r="B487" s="962" t="s">
        <v>10</v>
      </c>
      <c r="C487" s="241" t="s">
        <v>11</v>
      </c>
      <c r="D487" s="239">
        <v>70</v>
      </c>
      <c r="E487" s="185" t="s">
        <v>221</v>
      </c>
      <c r="F487" s="233">
        <v>9.6</v>
      </c>
      <c r="G487" s="193">
        <v>8</v>
      </c>
      <c r="H487" s="409" t="s">
        <v>232</v>
      </c>
      <c r="I487" s="1087">
        <v>8.4</v>
      </c>
      <c r="J487" s="308">
        <v>7</v>
      </c>
      <c r="K487" s="186" t="s">
        <v>313</v>
      </c>
      <c r="L487" s="233">
        <v>80</v>
      </c>
      <c r="M487" s="247">
        <v>80</v>
      </c>
      <c r="O487" s="1613" t="s">
        <v>143</v>
      </c>
      <c r="P487" s="1568"/>
      <c r="Q487" s="1569"/>
      <c r="R487" s="1724">
        <f>L488</f>
        <v>10</v>
      </c>
      <c r="S487" s="1569">
        <f>M488</f>
        <v>10</v>
      </c>
      <c r="T487" s="1724"/>
      <c r="U487" s="1569"/>
      <c r="V487" s="1724">
        <f t="shared" si="332"/>
        <v>10</v>
      </c>
      <c r="W487" s="1586">
        <f t="shared" si="333"/>
        <v>10</v>
      </c>
      <c r="X487" s="1724">
        <f t="shared" si="334"/>
        <v>10</v>
      </c>
      <c r="Y487" s="1585">
        <f t="shared" si="335"/>
        <v>10</v>
      </c>
      <c r="AA487" s="1850" t="s">
        <v>875</v>
      </c>
      <c r="AB487" s="1871">
        <f t="shared" ref="AB487" si="370">AB484+AB485+AB486</f>
        <v>0</v>
      </c>
      <c r="AC487" s="1851">
        <f t="shared" ref="AC487" si="371">AC484+AC485+AC486</f>
        <v>0</v>
      </c>
      <c r="AD487" s="1871">
        <f t="shared" ref="AD487" si="372">AD484+AD485+AD486</f>
        <v>0</v>
      </c>
      <c r="AE487" s="1851">
        <f t="shared" ref="AE487" si="373">AE484+AE485+AE486</f>
        <v>0</v>
      </c>
      <c r="AF487" s="1871">
        <f t="shared" ref="AF487" si="374">AF484+AF485+AF486</f>
        <v>0</v>
      </c>
      <c r="AG487" s="1851">
        <f t="shared" ref="AG487" si="375">AG484+AG485+AG486</f>
        <v>0</v>
      </c>
      <c r="AH487" s="1791">
        <f t="shared" si="360"/>
        <v>0</v>
      </c>
      <c r="AI487" s="1855">
        <f>AC487+AE487</f>
        <v>0</v>
      </c>
      <c r="AJ487" s="1791">
        <f t="shared" si="355"/>
        <v>0</v>
      </c>
      <c r="AK487" s="1859">
        <f t="shared" si="369"/>
        <v>0</v>
      </c>
      <c r="AM487" s="1944" t="s">
        <v>143</v>
      </c>
      <c r="AN487" s="1743">
        <f t="shared" si="351"/>
        <v>10</v>
      </c>
      <c r="AO487" s="1047">
        <f t="shared" si="339"/>
        <v>10</v>
      </c>
      <c r="AP487" s="1850" t="s">
        <v>875</v>
      </c>
      <c r="AQ487" s="2127">
        <f>AB487+AD487+AF487</f>
        <v>0</v>
      </c>
      <c r="AR487" s="2128">
        <f>AC487+AE487+AG487</f>
        <v>0</v>
      </c>
    </row>
    <row r="488" spans="2:44">
      <c r="B488" s="246" t="s">
        <v>10</v>
      </c>
      <c r="C488" s="241" t="s">
        <v>792</v>
      </c>
      <c r="D488" s="239">
        <v>40</v>
      </c>
      <c r="E488" s="185" t="s">
        <v>112</v>
      </c>
      <c r="F488" s="233">
        <v>2</v>
      </c>
      <c r="G488" s="193">
        <v>2</v>
      </c>
      <c r="H488" s="409" t="s">
        <v>79</v>
      </c>
      <c r="I488" s="1087">
        <v>26.5</v>
      </c>
      <c r="J488" s="1158">
        <v>21.2</v>
      </c>
      <c r="K488" s="186" t="s">
        <v>176</v>
      </c>
      <c r="L488" s="271">
        <v>10</v>
      </c>
      <c r="M488" s="737">
        <v>10</v>
      </c>
      <c r="O488" s="1617" t="s">
        <v>229</v>
      </c>
      <c r="P488" s="2187">
        <f>P492+P491+P490+P489</f>
        <v>6.88E-2</v>
      </c>
      <c r="Q488" s="1576">
        <f>Q489+Q490+Q491+Q492</f>
        <v>6.88E-2</v>
      </c>
      <c r="R488" s="1911">
        <f>R489+R490+R491+R492</f>
        <v>1.3</v>
      </c>
      <c r="S488" s="1576">
        <f>S489+S490+S491+S492</f>
        <v>1.3</v>
      </c>
      <c r="T488" s="1747">
        <f>T489+T490+T491+T492</f>
        <v>4.0000000000000001E-3</v>
      </c>
      <c r="U488" s="1576">
        <f>U489+U490+U491+U492</f>
        <v>4.0000000000000001E-3</v>
      </c>
      <c r="V488" s="1912">
        <f>P488+R488</f>
        <v>1.3688</v>
      </c>
      <c r="W488" s="1586">
        <f t="shared" si="333"/>
        <v>1.3688</v>
      </c>
      <c r="X488" s="1979">
        <f>R488+T488</f>
        <v>1.304</v>
      </c>
      <c r="Y488" s="1679">
        <f t="shared" si="335"/>
        <v>1.304</v>
      </c>
      <c r="AA488" s="1695" t="s">
        <v>208</v>
      </c>
      <c r="AB488" s="1784"/>
      <c r="AC488" s="1696"/>
      <c r="AD488" s="1784"/>
      <c r="AE488" s="1697"/>
      <c r="AF488" s="1784"/>
      <c r="AG488" s="1758"/>
      <c r="AH488" s="1788">
        <f t="shared" si="360"/>
        <v>0</v>
      </c>
      <c r="AI488" s="1772">
        <f>AC488+AE488</f>
        <v>0</v>
      </c>
      <c r="AJ488" s="1788">
        <f t="shared" si="355"/>
        <v>0</v>
      </c>
      <c r="AK488" s="1603">
        <f t="shared" si="369"/>
        <v>0</v>
      </c>
      <c r="AM488" s="1948" t="s">
        <v>229</v>
      </c>
      <c r="AN488" s="2090">
        <f>P488+R488+T488</f>
        <v>1.3728</v>
      </c>
      <c r="AO488" s="1047">
        <f t="shared" si="339"/>
        <v>1.3728</v>
      </c>
      <c r="AP488" s="2129" t="s">
        <v>208</v>
      </c>
      <c r="AQ488" s="2122">
        <f>AB488+AD488+AF488</f>
        <v>0</v>
      </c>
      <c r="AR488" s="2123">
        <f t="shared" ref="AR488:AR495" si="376">AC488+AE488+AG488</f>
        <v>0</v>
      </c>
    </row>
    <row r="489" spans="2:44">
      <c r="B489" s="266" t="s">
        <v>1004</v>
      </c>
      <c r="C489" s="241" t="s">
        <v>1009</v>
      </c>
      <c r="D489" s="378">
        <v>110</v>
      </c>
      <c r="E489" s="186" t="s">
        <v>57</v>
      </c>
      <c r="F489" s="233">
        <v>1.2</v>
      </c>
      <c r="G489" s="193">
        <v>1.2</v>
      </c>
      <c r="H489" s="185" t="s">
        <v>112</v>
      </c>
      <c r="I489" s="234">
        <v>1.2</v>
      </c>
      <c r="J489" s="308">
        <v>1.2</v>
      </c>
      <c r="K489" s="186" t="s">
        <v>94</v>
      </c>
      <c r="L489" s="233">
        <v>138</v>
      </c>
      <c r="M489" s="247"/>
      <c r="O489" s="1618" t="s">
        <v>222</v>
      </c>
      <c r="P489" s="2135">
        <f>I472+L477</f>
        <v>5.7999999999999996E-3</v>
      </c>
      <c r="Q489" s="1572">
        <f>J472+M477</f>
        <v>5.7999999999999996E-3</v>
      </c>
      <c r="R489" s="1971">
        <f>F492</f>
        <v>0.01</v>
      </c>
      <c r="S489" s="1572">
        <f>G492</f>
        <v>0.01</v>
      </c>
      <c r="T489" s="1971">
        <f>I501</f>
        <v>4.0000000000000001E-3</v>
      </c>
      <c r="U489" s="1572">
        <f>J501</f>
        <v>4.0000000000000001E-3</v>
      </c>
      <c r="V489" s="1775">
        <f>P489+R489</f>
        <v>1.5800000000000002E-2</v>
      </c>
      <c r="W489" s="1572"/>
      <c r="X489" s="1725">
        <f t="shared" si="334"/>
        <v>1.4E-2</v>
      </c>
      <c r="Y489" s="1607"/>
      <c r="AA489" s="1663" t="s">
        <v>81</v>
      </c>
      <c r="AB489" s="1782"/>
      <c r="AC489" s="1599"/>
      <c r="AD489" s="1782"/>
      <c r="AE489" s="1670"/>
      <c r="AF489" s="1782"/>
      <c r="AG489" s="1682"/>
      <c r="AH489" s="1789">
        <f t="shared" si="360"/>
        <v>0</v>
      </c>
      <c r="AI489" s="1772">
        <f t="shared" ref="AI489:AI499" si="377">AC489+AE489</f>
        <v>0</v>
      </c>
      <c r="AJ489" s="1789">
        <f t="shared" si="355"/>
        <v>0</v>
      </c>
      <c r="AK489" s="1645">
        <f t="shared" si="369"/>
        <v>0</v>
      </c>
      <c r="AM489" s="1949" t="s">
        <v>222</v>
      </c>
      <c r="AN489" s="2076">
        <f t="shared" ref="AN489:AN492" si="378">P489+R489+T489</f>
        <v>1.9800000000000002E-2</v>
      </c>
      <c r="AO489" s="1594">
        <f t="shared" ref="AO489:AO492" si="379">Q489+S489+U489</f>
        <v>1.9800000000000002E-2</v>
      </c>
      <c r="AP489" s="1663" t="s">
        <v>81</v>
      </c>
      <c r="AQ489" s="1840">
        <f t="shared" ref="AQ489:AQ495" si="380">AB489+AD489+AF489</f>
        <v>0</v>
      </c>
      <c r="AR489" s="1667">
        <f t="shared" si="376"/>
        <v>0</v>
      </c>
    </row>
    <row r="490" spans="2:44" ht="15.75" thickBot="1">
      <c r="B490" s="61"/>
      <c r="C490" s="999"/>
      <c r="D490" s="71"/>
      <c r="E490" s="185" t="s">
        <v>95</v>
      </c>
      <c r="F490" s="256">
        <v>5</v>
      </c>
      <c r="G490" s="267">
        <v>5</v>
      </c>
      <c r="H490" s="1225" t="s">
        <v>634</v>
      </c>
      <c r="I490" s="234"/>
      <c r="J490" s="308">
        <v>1.29</v>
      </c>
      <c r="K490" s="195"/>
      <c r="L490" s="277"/>
      <c r="M490" s="294"/>
      <c r="O490" s="1619" t="s">
        <v>679</v>
      </c>
      <c r="P490" s="2136"/>
      <c r="Q490" s="1573"/>
      <c r="R490" s="1972">
        <f>J490</f>
        <v>1.29</v>
      </c>
      <c r="S490" s="1573">
        <f>J490</f>
        <v>1.29</v>
      </c>
      <c r="T490" s="1972"/>
      <c r="U490" s="1573"/>
      <c r="V490" s="1775">
        <f t="shared" ref="V490:V491" si="381">P490+R490</f>
        <v>1.29</v>
      </c>
      <c r="W490" s="1573"/>
      <c r="X490" s="1725">
        <f t="shared" si="334"/>
        <v>1.29</v>
      </c>
      <c r="Y490" s="1608"/>
      <c r="AA490" s="1663" t="s">
        <v>83</v>
      </c>
      <c r="AB490" s="1785"/>
      <c r="AC490" s="1639"/>
      <c r="AD490" s="1785"/>
      <c r="AE490" s="1671"/>
      <c r="AF490" s="1785"/>
      <c r="AG490" s="1759"/>
      <c r="AH490" s="1789">
        <f t="shared" si="360"/>
        <v>0</v>
      </c>
      <c r="AI490" s="1772">
        <f t="shared" si="377"/>
        <v>0</v>
      </c>
      <c r="AJ490" s="1789">
        <f t="shared" si="355"/>
        <v>0</v>
      </c>
      <c r="AK490" s="1645">
        <f t="shared" si="369"/>
        <v>0</v>
      </c>
      <c r="AM490" s="1950" t="s">
        <v>679</v>
      </c>
      <c r="AN490" s="2076">
        <f t="shared" si="378"/>
        <v>1.29</v>
      </c>
      <c r="AO490" s="1594">
        <f t="shared" si="379"/>
        <v>1.29</v>
      </c>
      <c r="AP490" s="1663" t="s">
        <v>83</v>
      </c>
      <c r="AQ490" s="1840">
        <f t="shared" si="380"/>
        <v>0</v>
      </c>
      <c r="AR490" s="1667">
        <f t="shared" si="376"/>
        <v>0</v>
      </c>
    </row>
    <row r="491" spans="2:44" ht="15.75" thickBot="1">
      <c r="B491" s="61"/>
      <c r="C491" s="999"/>
      <c r="D491" s="71"/>
      <c r="E491" s="388" t="s">
        <v>97</v>
      </c>
      <c r="F491" s="272">
        <v>1.1000000000000001</v>
      </c>
      <c r="G491" s="273">
        <v>1.1000000000000001</v>
      </c>
      <c r="H491" s="185" t="s">
        <v>94</v>
      </c>
      <c r="I491" s="233">
        <v>112</v>
      </c>
      <c r="J491" s="193"/>
      <c r="K491" s="473" t="s">
        <v>1011</v>
      </c>
      <c r="L491" s="38"/>
      <c r="M491" s="50"/>
      <c r="O491" s="1620" t="s">
        <v>449</v>
      </c>
      <c r="P491" s="2137"/>
      <c r="Q491" s="1574"/>
      <c r="R491" s="1730"/>
      <c r="S491" s="1574"/>
      <c r="T491" s="1982"/>
      <c r="U491" s="1574"/>
      <c r="V491" s="1775">
        <f t="shared" si="381"/>
        <v>0</v>
      </c>
      <c r="W491" s="1574"/>
      <c r="X491" s="1725">
        <f t="shared" si="334"/>
        <v>0</v>
      </c>
      <c r="Y491" s="1609"/>
      <c r="AA491" s="1663" t="s">
        <v>84</v>
      </c>
      <c r="AB491" s="1782"/>
      <c r="AC491" s="1639"/>
      <c r="AD491" s="1782"/>
      <c r="AE491" s="1671"/>
      <c r="AF491" s="1782"/>
      <c r="AG491" s="1759"/>
      <c r="AH491" s="1789">
        <f t="shared" si="360"/>
        <v>0</v>
      </c>
      <c r="AI491" s="1772">
        <f t="shared" si="377"/>
        <v>0</v>
      </c>
      <c r="AJ491" s="1789">
        <f t="shared" si="355"/>
        <v>0</v>
      </c>
      <c r="AK491" s="1645">
        <f t="shared" si="369"/>
        <v>0</v>
      </c>
      <c r="AM491" s="1951" t="s">
        <v>449</v>
      </c>
      <c r="AN491" s="2076">
        <f t="shared" si="378"/>
        <v>0</v>
      </c>
      <c r="AO491" s="1594">
        <f t="shared" si="379"/>
        <v>0</v>
      </c>
      <c r="AP491" s="1663" t="s">
        <v>84</v>
      </c>
      <c r="AQ491" s="1840">
        <f t="shared" si="380"/>
        <v>0</v>
      </c>
      <c r="AR491" s="1667">
        <f t="shared" si="376"/>
        <v>0</v>
      </c>
    </row>
    <row r="492" spans="2:44" ht="15.75" thickBot="1">
      <c r="B492" s="61"/>
      <c r="C492" s="999"/>
      <c r="D492" s="71"/>
      <c r="E492" s="270" t="s">
        <v>222</v>
      </c>
      <c r="F492" s="234">
        <v>0.01</v>
      </c>
      <c r="G492" s="308">
        <v>0.01</v>
      </c>
      <c r="H492" s="263" t="s">
        <v>419</v>
      </c>
      <c r="I492" s="38"/>
      <c r="J492" s="38"/>
      <c r="K492" s="263" t="s">
        <v>118</v>
      </c>
      <c r="L492" s="97" t="s">
        <v>119</v>
      </c>
      <c r="M492" s="135" t="s">
        <v>120</v>
      </c>
      <c r="O492" s="1942" t="s">
        <v>167</v>
      </c>
      <c r="P492" s="2138">
        <f>L480</f>
        <v>6.3E-2</v>
      </c>
      <c r="Q492" s="1574">
        <f>M480</f>
        <v>6.3E-2</v>
      </c>
      <c r="R492" s="1725"/>
      <c r="S492" s="1574"/>
      <c r="T492" s="1983"/>
      <c r="U492" s="1574"/>
      <c r="V492" s="1976">
        <f>P492+R492</f>
        <v>6.3E-2</v>
      </c>
      <c r="W492" s="1574"/>
      <c r="X492" s="1976">
        <f t="shared" si="334"/>
        <v>0</v>
      </c>
      <c r="Y492" s="1609"/>
      <c r="AA492" s="1663" t="s">
        <v>85</v>
      </c>
      <c r="AB492" s="1782"/>
      <c r="AC492" s="1599"/>
      <c r="AD492" s="1782"/>
      <c r="AE492" s="1670"/>
      <c r="AF492" s="1782"/>
      <c r="AG492" s="1682"/>
      <c r="AH492" s="1789">
        <f t="shared" si="360"/>
        <v>0</v>
      </c>
      <c r="AI492" s="1772">
        <f t="shared" si="377"/>
        <v>0</v>
      </c>
      <c r="AJ492" s="1789">
        <f t="shared" si="355"/>
        <v>0</v>
      </c>
      <c r="AK492" s="1645">
        <f t="shared" si="369"/>
        <v>0</v>
      </c>
      <c r="AM492" s="1953" t="s">
        <v>167</v>
      </c>
      <c r="AN492" s="2076">
        <f t="shared" si="378"/>
        <v>6.3E-2</v>
      </c>
      <c r="AO492" s="1594">
        <f t="shared" si="379"/>
        <v>6.3E-2</v>
      </c>
      <c r="AP492" s="1663" t="s">
        <v>85</v>
      </c>
      <c r="AQ492" s="1840">
        <f t="shared" si="380"/>
        <v>0</v>
      </c>
      <c r="AR492" s="1667">
        <f t="shared" si="376"/>
        <v>0</v>
      </c>
    </row>
    <row r="493" spans="2:44" ht="15.75" thickBot="1">
      <c r="B493" s="61"/>
      <c r="C493" s="999"/>
      <c r="D493" s="71"/>
      <c r="E493" s="1073" t="s">
        <v>975</v>
      </c>
      <c r="F493" s="251">
        <v>200</v>
      </c>
      <c r="G493" s="268"/>
      <c r="H493" s="263" t="s">
        <v>118</v>
      </c>
      <c r="I493" s="97" t="s">
        <v>119</v>
      </c>
      <c r="J493" s="292" t="s">
        <v>120</v>
      </c>
      <c r="K493" s="100" t="s">
        <v>228</v>
      </c>
      <c r="L493" s="895">
        <v>124.85</v>
      </c>
      <c r="M493" s="131">
        <v>110</v>
      </c>
      <c r="O493" s="563" t="s">
        <v>116</v>
      </c>
      <c r="P493" s="2139">
        <f>F473</f>
        <v>8.01</v>
      </c>
      <c r="Q493" s="2023">
        <f>G473</f>
        <v>8.01</v>
      </c>
      <c r="R493" s="1610"/>
      <c r="S493" s="2022"/>
      <c r="T493" s="1610">
        <f>F502</f>
        <v>9</v>
      </c>
      <c r="U493" s="2022">
        <f>G502</f>
        <v>9</v>
      </c>
      <c r="V493" s="1837">
        <f>P493+R493</f>
        <v>8.01</v>
      </c>
      <c r="W493" s="2022"/>
      <c r="X493" s="1837">
        <f>R493+T493</f>
        <v>9</v>
      </c>
      <c r="Y493" s="1611"/>
      <c r="AA493" s="1663" t="s">
        <v>87</v>
      </c>
      <c r="AB493" s="2092"/>
      <c r="AC493" s="1640"/>
      <c r="AD493" s="1782"/>
      <c r="AE493" s="1670"/>
      <c r="AF493" s="1782"/>
      <c r="AG493" s="1682"/>
      <c r="AH493" s="1789">
        <f t="shared" si="360"/>
        <v>0</v>
      </c>
      <c r="AI493" s="1772">
        <f t="shared" si="377"/>
        <v>0</v>
      </c>
      <c r="AJ493" s="1789">
        <f t="shared" si="355"/>
        <v>0</v>
      </c>
      <c r="AK493" s="1645">
        <f t="shared" si="369"/>
        <v>0</v>
      </c>
      <c r="AM493" s="573" t="s">
        <v>116</v>
      </c>
      <c r="AN493" s="2078">
        <f>P493+R493+T493</f>
        <v>17.009999999999998</v>
      </c>
      <c r="AO493" s="857">
        <f>Q493+S493+U493</f>
        <v>17.009999999999998</v>
      </c>
      <c r="AP493" s="1663" t="s">
        <v>87</v>
      </c>
      <c r="AQ493" s="1840">
        <f t="shared" si="380"/>
        <v>0</v>
      </c>
      <c r="AR493" s="1667">
        <f t="shared" si="376"/>
        <v>0</v>
      </c>
    </row>
    <row r="494" spans="2:44">
      <c r="B494" s="61"/>
      <c r="C494" s="999"/>
      <c r="D494" s="71"/>
      <c r="E494" s="185" t="s">
        <v>99</v>
      </c>
      <c r="F494" s="233">
        <v>2.9449999999999998</v>
      </c>
      <c r="G494" s="236">
        <v>2.5</v>
      </c>
      <c r="H494" s="90" t="s">
        <v>66</v>
      </c>
      <c r="I494" s="829">
        <v>67.8</v>
      </c>
      <c r="J494" s="830">
        <v>60</v>
      </c>
      <c r="K494" s="964"/>
      <c r="M494" s="71"/>
      <c r="Q494" s="1570"/>
      <c r="S494" s="1570"/>
      <c r="U494" s="1570"/>
      <c r="W494" s="1570"/>
      <c r="Y494" s="1570"/>
      <c r="AA494" s="1663" t="s">
        <v>88</v>
      </c>
      <c r="AB494" s="1782"/>
      <c r="AC494" s="1599"/>
      <c r="AD494" s="1782"/>
      <c r="AE494" s="1670"/>
      <c r="AF494" s="1782"/>
      <c r="AG494" s="1682"/>
      <c r="AH494" s="1789">
        <f t="shared" si="360"/>
        <v>0</v>
      </c>
      <c r="AI494" s="1772">
        <f t="shared" si="377"/>
        <v>0</v>
      </c>
      <c r="AJ494" s="1789">
        <f t="shared" si="355"/>
        <v>0</v>
      </c>
      <c r="AK494" s="1645">
        <f t="shared" si="369"/>
        <v>0</v>
      </c>
      <c r="AP494" s="1663" t="s">
        <v>88</v>
      </c>
      <c r="AQ494" s="1840">
        <f t="shared" si="380"/>
        <v>0</v>
      </c>
      <c r="AR494" s="1667">
        <f t="shared" si="376"/>
        <v>0</v>
      </c>
    </row>
    <row r="495" spans="2:44" ht="15.75" thickBot="1">
      <c r="B495" s="1139" t="s">
        <v>583</v>
      </c>
      <c r="C495" s="1197"/>
      <c r="D495" s="1137">
        <f>D483+D484+D486+D487+D488+D489+50+140</f>
        <v>920</v>
      </c>
      <c r="H495" s="513"/>
      <c r="I495" s="184"/>
      <c r="J495" s="184"/>
      <c r="K495" s="908"/>
      <c r="L495" s="992"/>
      <c r="M495" s="74"/>
      <c r="Q495" s="1570"/>
      <c r="S495" s="1570"/>
      <c r="U495" s="1570"/>
      <c r="W495" s="1570"/>
      <c r="Y495" s="1570"/>
      <c r="AA495" s="1685" t="s">
        <v>90</v>
      </c>
      <c r="AB495" s="1927"/>
      <c r="AC495" s="1907"/>
      <c r="AD495" s="2166">
        <f>I485</f>
        <v>47.6</v>
      </c>
      <c r="AE495" s="1687">
        <f>J485</f>
        <v>47.6</v>
      </c>
      <c r="AF495" s="1783"/>
      <c r="AG495" s="1760"/>
      <c r="AH495" s="1790">
        <f t="shared" si="360"/>
        <v>47.6</v>
      </c>
      <c r="AI495" s="1772">
        <f t="shared" si="377"/>
        <v>47.6</v>
      </c>
      <c r="AJ495" s="1790">
        <f t="shared" si="355"/>
        <v>47.6</v>
      </c>
      <c r="AK495" s="1805">
        <f t="shared" si="369"/>
        <v>47.6</v>
      </c>
      <c r="AP495" s="1685" t="s">
        <v>90</v>
      </c>
      <c r="AQ495" s="1840">
        <f t="shared" si="380"/>
        <v>47.6</v>
      </c>
      <c r="AR495" s="1667">
        <f t="shared" si="376"/>
        <v>47.6</v>
      </c>
    </row>
    <row r="496" spans="2:44" ht="15.75" thickBot="1">
      <c r="B496" s="403"/>
      <c r="C496" s="162" t="s">
        <v>324</v>
      </c>
      <c r="D496" s="835"/>
      <c r="E496" s="994" t="s">
        <v>460</v>
      </c>
      <c r="F496" s="38"/>
      <c r="G496" s="38"/>
      <c r="H496" s="312" t="s">
        <v>455</v>
      </c>
      <c r="I496" s="38"/>
      <c r="J496" s="50"/>
      <c r="K496" s="1159" t="s">
        <v>593</v>
      </c>
      <c r="L496" s="1484"/>
      <c r="M496" s="54"/>
      <c r="O496" s="16"/>
      <c r="Q496" s="1579"/>
      <c r="S496" s="1579"/>
      <c r="U496" s="1570"/>
      <c r="W496" s="1570"/>
      <c r="Y496" s="1570"/>
      <c r="AA496" s="1688" t="s">
        <v>877</v>
      </c>
      <c r="AB496" s="1786">
        <f t="shared" ref="AB496" si="382">SUM(AB488:AB495)</f>
        <v>0</v>
      </c>
      <c r="AC496" s="1689">
        <f t="shared" ref="AC496" si="383">SUM(AC488:AC495)</f>
        <v>0</v>
      </c>
      <c r="AD496" s="1906">
        <f t="shared" ref="AD496" si="384">SUM(AD488:AD495)</f>
        <v>47.6</v>
      </c>
      <c r="AE496" s="1690">
        <f t="shared" ref="AE496" si="385">SUM(AE488:AE495)</f>
        <v>47.6</v>
      </c>
      <c r="AF496" s="1786">
        <f t="shared" ref="AF496" si="386">SUM(AF488:AF495)</f>
        <v>0</v>
      </c>
      <c r="AG496" s="1761">
        <f t="shared" ref="AG496" si="387">SUM(AG488:AG495)</f>
        <v>0</v>
      </c>
      <c r="AH496" s="1797">
        <f t="shared" si="360"/>
        <v>47.6</v>
      </c>
      <c r="AI496" s="1816">
        <f t="shared" si="377"/>
        <v>47.6</v>
      </c>
      <c r="AJ496" s="1797">
        <f t="shared" si="355"/>
        <v>47.6</v>
      </c>
      <c r="AK496" s="1691">
        <f t="shared" si="369"/>
        <v>47.6</v>
      </c>
      <c r="AP496" s="1688" t="s">
        <v>877</v>
      </c>
      <c r="AQ496" s="2130">
        <f>AB496+AD496+AF496</f>
        <v>47.6</v>
      </c>
      <c r="AR496" s="1672">
        <f>AC496+AE496+AG496</f>
        <v>47.6</v>
      </c>
    </row>
    <row r="497" spans="2:48" ht="15.75" thickBot="1">
      <c r="B497" s="1522" t="s">
        <v>830</v>
      </c>
      <c r="C497" s="283" t="s">
        <v>600</v>
      </c>
      <c r="D497" s="429">
        <v>200</v>
      </c>
      <c r="E497" s="281" t="s">
        <v>118</v>
      </c>
      <c r="F497" s="97" t="s">
        <v>119</v>
      </c>
      <c r="G497" s="292" t="s">
        <v>120</v>
      </c>
      <c r="H497" s="313" t="s">
        <v>118</v>
      </c>
      <c r="I497" s="102" t="s">
        <v>119</v>
      </c>
      <c r="J497" s="133" t="s">
        <v>120</v>
      </c>
      <c r="K497" s="313" t="s">
        <v>118</v>
      </c>
      <c r="L497" s="97" t="s">
        <v>119</v>
      </c>
      <c r="M497" s="470" t="s">
        <v>120</v>
      </c>
      <c r="O497" s="155"/>
      <c r="Q497" s="1570"/>
      <c r="S497" s="1570"/>
      <c r="U497" s="1570"/>
      <c r="W497" s="1570"/>
      <c r="Y497" s="1570"/>
      <c r="AA497" s="2062" t="s">
        <v>93</v>
      </c>
      <c r="AB497" s="1784"/>
      <c r="AC497" s="2064"/>
      <c r="AD497" s="1788"/>
      <c r="AE497" s="2067"/>
      <c r="AF497" s="1784"/>
      <c r="AG497" s="2064"/>
      <c r="AH497" s="1788">
        <f t="shared" si="360"/>
        <v>0</v>
      </c>
      <c r="AI497" s="2069">
        <f t="shared" si="377"/>
        <v>0</v>
      </c>
      <c r="AJ497" s="1788">
        <f t="shared" si="355"/>
        <v>0</v>
      </c>
      <c r="AK497" s="1709">
        <f t="shared" si="369"/>
        <v>0</v>
      </c>
      <c r="AP497" s="2062" t="s">
        <v>93</v>
      </c>
      <c r="AQ497" s="2117">
        <f t="shared" ref="AQ497:AQ498" si="388">AB497+AD497+AF497</f>
        <v>0</v>
      </c>
      <c r="AR497" s="1708">
        <f t="shared" ref="AR497:AR498" si="389">AC497+AE497+AG497</f>
        <v>0</v>
      </c>
    </row>
    <row r="498" spans="2:48" ht="15.75" thickBot="1">
      <c r="B498" s="246" t="s">
        <v>461</v>
      </c>
      <c r="C498" s="1550" t="s">
        <v>460</v>
      </c>
      <c r="D498" s="285" t="s">
        <v>383</v>
      </c>
      <c r="E498" s="98" t="s">
        <v>52</v>
      </c>
      <c r="F498" s="123">
        <v>112</v>
      </c>
      <c r="G498" s="735">
        <v>83.7</v>
      </c>
      <c r="H498" s="216" t="s">
        <v>93</v>
      </c>
      <c r="I498" s="123">
        <v>14.2</v>
      </c>
      <c r="J498" s="309">
        <v>14.2</v>
      </c>
      <c r="K498" s="100" t="s">
        <v>107</v>
      </c>
      <c r="L498" s="123">
        <v>1</v>
      </c>
      <c r="M498" s="131">
        <v>1</v>
      </c>
      <c r="O498" s="48"/>
      <c r="Q498" s="1570"/>
      <c r="S498" s="1570"/>
      <c r="U498" s="1570"/>
      <c r="W498" s="1570"/>
      <c r="Y498" s="1570"/>
      <c r="AA498" s="2063" t="s">
        <v>908</v>
      </c>
      <c r="AB498" s="1783"/>
      <c r="AC498" s="2065"/>
      <c r="AD498" s="1790"/>
      <c r="AE498" s="2068"/>
      <c r="AF498" s="1783"/>
      <c r="AG498" s="2065"/>
      <c r="AH498" s="1790">
        <f t="shared" si="360"/>
        <v>0</v>
      </c>
      <c r="AI498" s="1767">
        <f t="shared" si="377"/>
        <v>0</v>
      </c>
      <c r="AJ498" s="1790">
        <f t="shared" si="355"/>
        <v>0</v>
      </c>
      <c r="AK498" s="1701">
        <f t="shared" si="369"/>
        <v>0</v>
      </c>
      <c r="AP498" s="2063" t="s">
        <v>908</v>
      </c>
      <c r="AQ498" s="2074">
        <f t="shared" si="388"/>
        <v>0</v>
      </c>
      <c r="AR498" s="1700">
        <f t="shared" si="389"/>
        <v>0</v>
      </c>
      <c r="AV498" s="94"/>
    </row>
    <row r="499" spans="2:48" ht="15.75" thickBot="1">
      <c r="B499" s="246" t="s">
        <v>10</v>
      </c>
      <c r="C499" s="241" t="s">
        <v>11</v>
      </c>
      <c r="D499" s="239">
        <v>40</v>
      </c>
      <c r="E499" s="186" t="s">
        <v>130</v>
      </c>
      <c r="F499" s="233">
        <v>21.6</v>
      </c>
      <c r="G499" s="193">
        <v>18</v>
      </c>
      <c r="H499" s="241" t="s">
        <v>95</v>
      </c>
      <c r="I499" s="233">
        <v>0.4</v>
      </c>
      <c r="J499" s="247">
        <v>0.4</v>
      </c>
      <c r="K499" s="249" t="s">
        <v>94</v>
      </c>
      <c r="L499" s="251">
        <v>66</v>
      </c>
      <c r="M499" s="255">
        <v>66</v>
      </c>
      <c r="O499" s="48"/>
      <c r="Q499" s="367"/>
      <c r="S499" s="1581"/>
      <c r="U499" s="1570"/>
      <c r="W499" s="1570"/>
      <c r="Y499" s="1570"/>
      <c r="AA499" s="1720" t="s">
        <v>909</v>
      </c>
      <c r="AB499" s="2070">
        <f t="shared" ref="AB499" si="390">SUM(AB497:AB498)</f>
        <v>0</v>
      </c>
      <c r="AC499" s="2066">
        <f t="shared" ref="AC499" si="391">SUM(AC497:AC498)</f>
        <v>0</v>
      </c>
      <c r="AD499" s="2071">
        <f t="shared" ref="AD499" si="392">SUM(AD497:AD498)</f>
        <v>0</v>
      </c>
      <c r="AE499" s="1705">
        <f t="shared" ref="AE499" si="393">SUM(AE497:AE498)</f>
        <v>0</v>
      </c>
      <c r="AF499" s="2070">
        <f t="shared" ref="AF499" si="394">SUM(AF497:AF498)</f>
        <v>0</v>
      </c>
      <c r="AG499" s="2072">
        <f t="shared" ref="AG499" si="395">SUM(AG497:AG498)</f>
        <v>0</v>
      </c>
      <c r="AH499" s="1795">
        <f t="shared" si="360"/>
        <v>0</v>
      </c>
      <c r="AI499" s="1768">
        <f t="shared" si="377"/>
        <v>0</v>
      </c>
      <c r="AJ499" s="1795">
        <f t="shared" si="355"/>
        <v>0</v>
      </c>
      <c r="AK499" s="1706">
        <f t="shared" si="369"/>
        <v>0</v>
      </c>
      <c r="AP499" s="1720" t="s">
        <v>909</v>
      </c>
      <c r="AQ499" s="2075">
        <f>AB499+AD499+AF499</f>
        <v>0</v>
      </c>
      <c r="AR499" s="1705">
        <f>AC499+AE499+AG499</f>
        <v>0</v>
      </c>
    </row>
    <row r="500" spans="2:48">
      <c r="B500" s="61"/>
      <c r="C500" s="999"/>
      <c r="D500" s="71"/>
      <c r="E500" s="185" t="s">
        <v>468</v>
      </c>
      <c r="F500" s="233">
        <v>17.100000000000001</v>
      </c>
      <c r="G500" s="193">
        <v>13.5</v>
      </c>
      <c r="H500" s="167" t="s">
        <v>92</v>
      </c>
      <c r="I500" s="233">
        <v>2.2000000000000002</v>
      </c>
      <c r="J500" s="235">
        <v>2.2000000000000002</v>
      </c>
      <c r="K500" s="186" t="s">
        <v>57</v>
      </c>
      <c r="L500" s="254">
        <v>6</v>
      </c>
      <c r="M500" s="293">
        <v>6</v>
      </c>
      <c r="O500" s="48"/>
      <c r="Q500" s="1570"/>
      <c r="S500" s="1570"/>
      <c r="U500" s="1570"/>
      <c r="W500" s="1570"/>
      <c r="Y500" s="1570"/>
      <c r="AB500" s="62"/>
      <c r="AD500" s="62"/>
      <c r="AE500" s="1570"/>
      <c r="AF500" s="786"/>
      <c r="AG500" s="1570"/>
      <c r="AH500" s="62"/>
      <c r="AI500" s="282"/>
      <c r="AJ500" s="62"/>
      <c r="AK500" s="1570"/>
    </row>
    <row r="501" spans="2:48">
      <c r="B501" s="61"/>
      <c r="C501" s="999"/>
      <c r="D501" s="71"/>
      <c r="E501" s="185" t="s">
        <v>95</v>
      </c>
      <c r="F501" s="233">
        <v>2.7</v>
      </c>
      <c r="G501" s="411">
        <v>2.7</v>
      </c>
      <c r="H501" s="492" t="s">
        <v>98</v>
      </c>
      <c r="I501" s="233">
        <v>4.0000000000000001E-3</v>
      </c>
      <c r="J501" s="247">
        <v>4.0000000000000001E-3</v>
      </c>
      <c r="K501" s="249" t="s">
        <v>94</v>
      </c>
      <c r="L501" s="251">
        <v>145</v>
      </c>
      <c r="M501" s="255">
        <v>145</v>
      </c>
      <c r="O501" s="48"/>
      <c r="Q501" s="367"/>
      <c r="S501" s="1581"/>
      <c r="U501" s="1570"/>
      <c r="W501" s="1570"/>
      <c r="Y501" s="1570"/>
      <c r="AB501" s="62"/>
      <c r="AD501" s="62"/>
      <c r="AE501" s="1570"/>
      <c r="AF501" s="786"/>
      <c r="AG501" s="1570"/>
      <c r="AH501" s="62"/>
      <c r="AI501" s="282"/>
      <c r="AJ501" s="62"/>
      <c r="AK501" s="1570"/>
    </row>
    <row r="502" spans="2:48">
      <c r="B502" s="61"/>
      <c r="C502" s="1201"/>
      <c r="D502" s="71"/>
      <c r="E502" s="389" t="s">
        <v>437</v>
      </c>
      <c r="F502" s="233">
        <v>9</v>
      </c>
      <c r="G502" s="411">
        <v>9</v>
      </c>
      <c r="H502" s="283" t="s">
        <v>97</v>
      </c>
      <c r="I502" s="251">
        <v>0.2</v>
      </c>
      <c r="J502" s="293">
        <v>0.2</v>
      </c>
      <c r="K502" s="185" t="s">
        <v>594</v>
      </c>
      <c r="L502" s="271">
        <v>7.5</v>
      </c>
      <c r="M502" s="737">
        <v>7</v>
      </c>
      <c r="O502" s="48"/>
      <c r="Q502" s="367"/>
      <c r="S502" s="1581"/>
      <c r="U502" s="1570"/>
      <c r="W502" s="1570"/>
      <c r="Y502" s="1570"/>
      <c r="AB502" s="62"/>
      <c r="AD502" s="62"/>
      <c r="AE502" s="1570"/>
      <c r="AF502" s="786"/>
      <c r="AG502" s="1570"/>
      <c r="AH502" s="62"/>
      <c r="AI502" s="282"/>
      <c r="AJ502" s="62"/>
      <c r="AK502" s="1570"/>
      <c r="AV502" s="48"/>
    </row>
    <row r="503" spans="2:48" ht="15.75" thickBot="1">
      <c r="B503" s="1139" t="s">
        <v>584</v>
      </c>
      <c r="C503" s="1136"/>
      <c r="D503" s="1137">
        <f>D497+D499+90+20</f>
        <v>350</v>
      </c>
      <c r="E503" s="995" t="s">
        <v>103</v>
      </c>
      <c r="F503" s="277">
        <v>4</v>
      </c>
      <c r="G503" s="972">
        <v>4</v>
      </c>
      <c r="H503" s="188" t="s">
        <v>94</v>
      </c>
      <c r="I503" s="277">
        <v>7.8</v>
      </c>
      <c r="J503" s="294">
        <v>7.8</v>
      </c>
      <c r="K503" s="647"/>
      <c r="L503" s="996"/>
      <c r="M503" s="997"/>
      <c r="Q503" s="1570"/>
      <c r="S503" s="1570"/>
      <c r="U503" s="1570"/>
      <c r="W503" s="1570"/>
      <c r="Y503" s="1570"/>
      <c r="AB503" s="62"/>
      <c r="AD503" s="62"/>
      <c r="AE503" s="1570"/>
      <c r="AF503" s="786"/>
      <c r="AG503" s="1570"/>
      <c r="AH503" s="62"/>
      <c r="AI503" s="282"/>
      <c r="AJ503" s="62"/>
      <c r="AK503" s="1570"/>
    </row>
    <row r="504" spans="2:48">
      <c r="E504" s="4"/>
      <c r="F504" s="8"/>
      <c r="G504" s="142"/>
      <c r="K504" s="4"/>
      <c r="L504" s="110"/>
      <c r="M504" s="141"/>
      <c r="Q504" s="1570"/>
      <c r="S504" s="1570"/>
      <c r="U504" s="1570"/>
      <c r="W504" s="1570"/>
      <c r="Y504" s="1570"/>
      <c r="AB504" s="62"/>
      <c r="AD504" s="62"/>
      <c r="AE504" s="1570"/>
      <c r="AF504" s="786"/>
      <c r="AG504" s="1570"/>
      <c r="AH504" s="62"/>
      <c r="AI504" s="282"/>
      <c r="AJ504" s="62"/>
      <c r="AK504" s="1570"/>
    </row>
    <row r="505" spans="2:48">
      <c r="Q505" s="1570"/>
      <c r="S505" s="1570"/>
      <c r="U505" s="1570"/>
      <c r="W505" s="1570"/>
      <c r="Y505" s="1570"/>
      <c r="AB505" s="62"/>
      <c r="AD505" s="62"/>
      <c r="AE505" s="1570"/>
      <c r="AF505" s="786"/>
      <c r="AG505" s="1570"/>
      <c r="AH505" s="62"/>
      <c r="AI505" s="282"/>
      <c r="AJ505" s="62"/>
      <c r="AK505" s="1570"/>
    </row>
    <row r="506" spans="2:48">
      <c r="C506" s="171" t="s">
        <v>551</v>
      </c>
      <c r="G506" s="2"/>
      <c r="H506" s="2"/>
      <c r="I506" s="2"/>
      <c r="Q506" s="1570"/>
      <c r="S506" s="1570"/>
      <c r="U506" s="1570"/>
      <c r="W506" s="1570"/>
      <c r="Y506" s="1570"/>
      <c r="AB506" s="62"/>
      <c r="AD506" s="62"/>
      <c r="AE506" s="1570"/>
      <c r="AF506" s="786"/>
      <c r="AG506" s="1570"/>
      <c r="AH506" s="62"/>
      <c r="AI506" s="282"/>
      <c r="AJ506" s="62"/>
      <c r="AK506" s="1570"/>
    </row>
    <row r="507" spans="2:48">
      <c r="C507"/>
      <c r="D507" s="94" t="s">
        <v>354</v>
      </c>
      <c r="F507" s="15"/>
      <c r="K507" s="87"/>
      <c r="Q507" s="1570"/>
      <c r="S507" s="1570"/>
      <c r="U507" s="1570"/>
      <c r="W507" s="1570"/>
      <c r="Y507" s="1570"/>
      <c r="AA507" t="s">
        <v>872</v>
      </c>
      <c r="AK507" s="1570"/>
    </row>
    <row r="508" spans="2:48">
      <c r="Q508" s="1570"/>
      <c r="S508" s="1570"/>
      <c r="U508" s="1570"/>
      <c r="W508" s="1570"/>
      <c r="Y508" s="1570"/>
      <c r="AA508" s="94" t="str">
        <f>O510</f>
        <v>10- й   день</v>
      </c>
      <c r="AB508" s="201" t="s">
        <v>513</v>
      </c>
      <c r="AG508" s="129" t="s">
        <v>173</v>
      </c>
      <c r="AI508" s="45" t="s">
        <v>558</v>
      </c>
      <c r="AJ508" s="63"/>
      <c r="AK508" s="1570"/>
    </row>
    <row r="509" spans="2:48" ht="15.75" thickBot="1">
      <c r="C509" s="1" t="s">
        <v>552</v>
      </c>
      <c r="Q509" s="1570"/>
      <c r="S509" s="1570"/>
      <c r="U509" s="1570"/>
      <c r="W509" s="1570"/>
      <c r="Y509" s="1570"/>
      <c r="AC509" s="62"/>
      <c r="AE509" s="62"/>
      <c r="AF509" s="1570"/>
      <c r="AG509" s="786"/>
      <c r="AH509" s="1570"/>
      <c r="AI509" s="62"/>
      <c r="AJ509" s="282"/>
      <c r="AK509" s="1570"/>
    </row>
    <row r="510" spans="2:48" ht="16.5" thickBot="1">
      <c r="C510" s="1" t="s">
        <v>553</v>
      </c>
      <c r="O510" s="1936" t="s">
        <v>919</v>
      </c>
      <c r="P510" s="516" t="s">
        <v>513</v>
      </c>
      <c r="Q510" s="38"/>
      <c r="R510" s="38"/>
      <c r="S510" s="38"/>
      <c r="T510" s="38"/>
      <c r="U510" s="1937" t="s">
        <v>173</v>
      </c>
      <c r="V510" s="38"/>
      <c r="W510" s="1938" t="s">
        <v>558</v>
      </c>
      <c r="X510" s="1939"/>
      <c r="Y510" s="1582"/>
      <c r="AB510" s="62"/>
      <c r="AD510" s="62"/>
      <c r="AE510" s="1570"/>
      <c r="AF510" s="786"/>
      <c r="AG510" s="1570"/>
      <c r="AH510" s="62"/>
      <c r="AI510" s="282"/>
      <c r="AJ510" s="62"/>
      <c r="AK510" s="1570"/>
      <c r="AM510" s="37"/>
      <c r="AN510" s="312" t="s">
        <v>893</v>
      </c>
      <c r="AO510" s="38"/>
      <c r="AP510" s="68"/>
      <c r="AQ510" s="38"/>
      <c r="AR510" s="50"/>
    </row>
    <row r="511" spans="2:48" ht="15.75" thickBot="1">
      <c r="C511" s="1" t="s">
        <v>553</v>
      </c>
      <c r="E511" t="s">
        <v>554</v>
      </c>
      <c r="O511" s="1612" t="s">
        <v>508</v>
      </c>
      <c r="P511" s="1676" t="s">
        <v>886</v>
      </c>
      <c r="Q511" s="1602"/>
      <c r="R511" s="1676" t="s">
        <v>885</v>
      </c>
      <c r="S511" s="1602"/>
      <c r="T511" s="1676" t="s">
        <v>887</v>
      </c>
      <c r="U511" s="1602"/>
      <c r="V511" s="1676" t="s">
        <v>889</v>
      </c>
      <c r="W511" s="1602"/>
      <c r="X511" s="1977" t="s">
        <v>891</v>
      </c>
      <c r="Y511" s="1978"/>
      <c r="AA511" s="1612" t="s">
        <v>508</v>
      </c>
      <c r="AB511" s="1676" t="s">
        <v>886</v>
      </c>
      <c r="AC511" s="1602"/>
      <c r="AD511" s="1676" t="s">
        <v>885</v>
      </c>
      <c r="AE511" s="1602"/>
      <c r="AF511" s="1676" t="s">
        <v>887</v>
      </c>
      <c r="AG511" s="1602"/>
      <c r="AH511" s="1676" t="s">
        <v>888</v>
      </c>
      <c r="AI511" s="1602"/>
      <c r="AJ511" s="1798" t="s">
        <v>890</v>
      </c>
      <c r="AK511" s="1602"/>
      <c r="AM511" s="1612" t="s">
        <v>508</v>
      </c>
      <c r="AN511" s="1862" t="s">
        <v>892</v>
      </c>
      <c r="AO511" s="1832"/>
      <c r="AP511" s="1612" t="s">
        <v>508</v>
      </c>
      <c r="AQ511" s="2001" t="s">
        <v>892</v>
      </c>
      <c r="AR511" s="1841"/>
    </row>
    <row r="512" spans="2:48" ht="15.75" thickBot="1">
      <c r="C512" s="1" t="s">
        <v>555</v>
      </c>
      <c r="E512" t="s">
        <v>556</v>
      </c>
      <c r="O512" s="871"/>
      <c r="P512" s="1621" t="s">
        <v>119</v>
      </c>
      <c r="Q512" s="1622" t="s">
        <v>120</v>
      </c>
      <c r="R512" s="1621" t="s">
        <v>119</v>
      </c>
      <c r="S512" s="1622" t="s">
        <v>120</v>
      </c>
      <c r="T512" s="1621" t="s">
        <v>119</v>
      </c>
      <c r="U512" s="1622" t="s">
        <v>120</v>
      </c>
      <c r="V512" s="1621" t="s">
        <v>119</v>
      </c>
      <c r="W512" s="1622" t="s">
        <v>120</v>
      </c>
      <c r="X512" s="1804" t="s">
        <v>119</v>
      </c>
      <c r="Y512" s="1822" t="s">
        <v>120</v>
      </c>
      <c r="AA512" s="2003" t="s">
        <v>67</v>
      </c>
      <c r="AB512" s="1621" t="s">
        <v>119</v>
      </c>
      <c r="AC512" s="1664" t="s">
        <v>120</v>
      </c>
      <c r="AD512" s="1637" t="s">
        <v>119</v>
      </c>
      <c r="AE512" s="1638" t="s">
        <v>120</v>
      </c>
      <c r="AF512" s="1637" t="s">
        <v>119</v>
      </c>
      <c r="AG512" s="1638" t="s">
        <v>120</v>
      </c>
      <c r="AH512" s="1621" t="s">
        <v>119</v>
      </c>
      <c r="AI512" s="1622" t="s">
        <v>120</v>
      </c>
      <c r="AJ512" s="1799" t="s">
        <v>119</v>
      </c>
      <c r="AK512" s="1622" t="s">
        <v>120</v>
      </c>
      <c r="AM512" s="871"/>
      <c r="AN512" s="1863" t="s">
        <v>119</v>
      </c>
      <c r="AO512" s="1833" t="s">
        <v>120</v>
      </c>
      <c r="AP512" s="2143" t="s">
        <v>67</v>
      </c>
      <c r="AQ512" s="2002" t="s">
        <v>119</v>
      </c>
      <c r="AR512" s="2144" t="s">
        <v>120</v>
      </c>
    </row>
    <row r="513" spans="2:48">
      <c r="C513" s="1" t="s">
        <v>555</v>
      </c>
      <c r="E513" t="s">
        <v>557</v>
      </c>
      <c r="O513" s="1992" t="s">
        <v>165</v>
      </c>
      <c r="P513" s="1731">
        <f>D528</f>
        <v>40</v>
      </c>
      <c r="Q513" s="2018">
        <f>D528</f>
        <v>40</v>
      </c>
      <c r="R513" s="1731">
        <f>D543</f>
        <v>30</v>
      </c>
      <c r="S513" s="2018">
        <f>D543</f>
        <v>30</v>
      </c>
      <c r="T513" s="1731">
        <f>D549</f>
        <v>20</v>
      </c>
      <c r="U513" s="2018">
        <f>D549</f>
        <v>20</v>
      </c>
      <c r="V513" s="1731">
        <f>P513+R513</f>
        <v>70</v>
      </c>
      <c r="W513" s="2019">
        <f>Q513+S513</f>
        <v>70</v>
      </c>
      <c r="X513" s="1731">
        <f>R513+T513</f>
        <v>50</v>
      </c>
      <c r="Y513" s="1583">
        <f>S513+U513</f>
        <v>50</v>
      </c>
      <c r="AA513" s="178" t="s">
        <v>159</v>
      </c>
      <c r="AB513" s="2035"/>
      <c r="AC513" s="840"/>
      <c r="AD513" s="1792">
        <f>F545</f>
        <v>93</v>
      </c>
      <c r="AE513" s="1598">
        <f>G545</f>
        <v>60</v>
      </c>
      <c r="AF513" s="1792"/>
      <c r="AG513" s="1681"/>
      <c r="AH513" s="1792">
        <f>AB513+AD513</f>
        <v>93</v>
      </c>
      <c r="AI513" s="1586">
        <f>AC513+AE513</f>
        <v>60</v>
      </c>
      <c r="AJ513" s="1792">
        <f>AD513+AF513</f>
        <v>93</v>
      </c>
      <c r="AK513" s="1583">
        <f>AE513+AG513</f>
        <v>60</v>
      </c>
      <c r="AM513" s="1992" t="s">
        <v>165</v>
      </c>
      <c r="AN513" s="1743">
        <f>P513+R513+T513</f>
        <v>90</v>
      </c>
      <c r="AO513" s="858">
        <f>Q513+S513+U513</f>
        <v>90</v>
      </c>
      <c r="AP513" s="2034" t="s">
        <v>159</v>
      </c>
      <c r="AQ513" s="2112">
        <f>AB513+AD513+AF513</f>
        <v>93</v>
      </c>
      <c r="AR513" s="856">
        <f>AC513+AE513+AG513</f>
        <v>60</v>
      </c>
    </row>
    <row r="514" spans="2:48">
      <c r="O514" s="1944" t="s">
        <v>164</v>
      </c>
      <c r="P514" s="1724">
        <f>D527</f>
        <v>50</v>
      </c>
      <c r="Q514" s="2020">
        <f>D527</f>
        <v>50</v>
      </c>
      <c r="R514" s="1724">
        <f>L532+D542</f>
        <v>66</v>
      </c>
      <c r="S514" s="2020">
        <f>M532+D542</f>
        <v>66</v>
      </c>
      <c r="T514" s="1724"/>
      <c r="U514" s="2020"/>
      <c r="V514" s="1724">
        <f t="shared" ref="V514:V542" si="396">P514+R514</f>
        <v>116</v>
      </c>
      <c r="W514" s="1586">
        <f t="shared" ref="W514:W543" si="397">Q514+S514</f>
        <v>116</v>
      </c>
      <c r="X514" s="1724">
        <f t="shared" ref="X514:X547" si="398">R514+T514</f>
        <v>66</v>
      </c>
      <c r="Y514" s="1585">
        <f t="shared" ref="Y514:Y543" si="399">S514+U514</f>
        <v>66</v>
      </c>
      <c r="AA514" s="178" t="s">
        <v>70</v>
      </c>
      <c r="AB514" s="444"/>
      <c r="AC514" s="841"/>
      <c r="AD514" s="1789"/>
      <c r="AE514" s="1598"/>
      <c r="AF514" s="1789"/>
      <c r="AG514" s="1681"/>
      <c r="AH514" s="1789">
        <f>AB514+AD514</f>
        <v>0</v>
      </c>
      <c r="AI514" s="1586">
        <f t="shared" ref="AI514:AJ527" si="400">AC514+AE514</f>
        <v>0</v>
      </c>
      <c r="AJ514" s="1789">
        <f>AD514+AF514</f>
        <v>0</v>
      </c>
      <c r="AK514" s="1585">
        <f t="shared" ref="AK514:AK527" si="401">AE514+AG514</f>
        <v>0</v>
      </c>
      <c r="AM514" s="1944" t="s">
        <v>164</v>
      </c>
      <c r="AN514" s="1743">
        <f t="shared" ref="AN514:AN526" si="402">P514+R514+T514</f>
        <v>116</v>
      </c>
      <c r="AO514" s="858">
        <f t="shared" ref="AO514:AO543" si="403">Q514+S514+U514</f>
        <v>116</v>
      </c>
      <c r="AP514" s="2039" t="s">
        <v>70</v>
      </c>
      <c r="AQ514" s="1801">
        <f t="shared" ref="AQ514:AQ529" si="404">AB514+AD514+AF514</f>
        <v>0</v>
      </c>
      <c r="AR514" s="856">
        <f t="shared" ref="AR514:AR528" si="405">AC514+AE514+AG514</f>
        <v>0</v>
      </c>
    </row>
    <row r="515" spans="2:48">
      <c r="B515" s="2" t="s">
        <v>513</v>
      </c>
      <c r="F515" s="129" t="s">
        <v>173</v>
      </c>
      <c r="I515" s="13" t="s">
        <v>558</v>
      </c>
      <c r="K515" s="346"/>
      <c r="O515" s="1993" t="s">
        <v>92</v>
      </c>
      <c r="P515" s="1724"/>
      <c r="Q515" s="1600"/>
      <c r="R515" s="1724">
        <f>F531+F532+I535+I541+L536</f>
        <v>26.364999999999995</v>
      </c>
      <c r="S515" s="2085">
        <f>G531+J535+J541+G532+M536</f>
        <v>26.364999999999998</v>
      </c>
      <c r="T515" s="1966">
        <f>L551</f>
        <v>3.3</v>
      </c>
      <c r="U515" s="1600">
        <f>M551</f>
        <v>3.3</v>
      </c>
      <c r="V515" s="1724">
        <f t="shared" si="396"/>
        <v>26.364999999999995</v>
      </c>
      <c r="W515" s="1586">
        <f t="shared" si="397"/>
        <v>26.364999999999998</v>
      </c>
      <c r="X515" s="1724">
        <f t="shared" si="398"/>
        <v>29.664999999999996</v>
      </c>
      <c r="Y515" s="1585">
        <f t="shared" si="399"/>
        <v>29.664999999999999</v>
      </c>
      <c r="AA515" s="125" t="s">
        <v>72</v>
      </c>
      <c r="AB515" s="444"/>
      <c r="AC515" s="842"/>
      <c r="AD515" s="1789"/>
      <c r="AE515" s="1598"/>
      <c r="AF515" s="1789"/>
      <c r="AG515" s="1681"/>
      <c r="AH515" s="1789">
        <f>AB515+AD515</f>
        <v>0</v>
      </c>
      <c r="AI515" s="1586">
        <f t="shared" si="400"/>
        <v>0</v>
      </c>
      <c r="AJ515" s="1789">
        <f>AD515+AF515</f>
        <v>0</v>
      </c>
      <c r="AK515" s="1585">
        <f t="shared" si="401"/>
        <v>0</v>
      </c>
      <c r="AM515" s="1993" t="s">
        <v>92</v>
      </c>
      <c r="AN515" s="1743">
        <f t="shared" si="402"/>
        <v>29.664999999999996</v>
      </c>
      <c r="AO515" s="858">
        <f t="shared" si="403"/>
        <v>29.664999999999999</v>
      </c>
      <c r="AP515" s="2100" t="s">
        <v>72</v>
      </c>
      <c r="AQ515" s="1801">
        <f t="shared" si="404"/>
        <v>0</v>
      </c>
      <c r="AR515" s="856">
        <f t="shared" si="405"/>
        <v>0</v>
      </c>
    </row>
    <row r="516" spans="2:48" ht="15.75" thickBot="1">
      <c r="O516" s="1996" t="s">
        <v>900</v>
      </c>
      <c r="P516" s="1725">
        <f t="shared" ref="P516:U516" si="406">AB551</f>
        <v>30</v>
      </c>
      <c r="Q516" s="1595">
        <f t="shared" si="406"/>
        <v>30</v>
      </c>
      <c r="R516" s="1725">
        <f t="shared" si="406"/>
        <v>0</v>
      </c>
      <c r="S516" s="1595">
        <f t="shared" si="406"/>
        <v>0</v>
      </c>
      <c r="T516" s="1725">
        <f t="shared" si="406"/>
        <v>4.91</v>
      </c>
      <c r="U516" s="1595">
        <f t="shared" si="406"/>
        <v>4.91</v>
      </c>
      <c r="V516" s="1725">
        <f>P516+R516</f>
        <v>30</v>
      </c>
      <c r="W516" s="1594">
        <f t="shared" si="397"/>
        <v>30</v>
      </c>
      <c r="X516" s="1725">
        <f t="shared" si="398"/>
        <v>4.91</v>
      </c>
      <c r="Y516" s="1820">
        <f t="shared" si="399"/>
        <v>4.91</v>
      </c>
      <c r="AA516" s="125" t="s">
        <v>74</v>
      </c>
      <c r="AB516" s="1789"/>
      <c r="AC516" s="843"/>
      <c r="AD516" s="1789"/>
      <c r="AE516" s="1598"/>
      <c r="AF516" s="1789"/>
      <c r="AG516" s="1681"/>
      <c r="AH516" s="1789">
        <f t="shared" ref="AH516:AH527" si="407">AB516+AD516</f>
        <v>0</v>
      </c>
      <c r="AI516" s="1586">
        <f t="shared" si="400"/>
        <v>0</v>
      </c>
      <c r="AJ516" s="1789">
        <f t="shared" si="400"/>
        <v>0</v>
      </c>
      <c r="AK516" s="1585">
        <f t="shared" si="401"/>
        <v>0</v>
      </c>
      <c r="AM516" s="1996" t="s">
        <v>900</v>
      </c>
      <c r="AN516" s="2076">
        <f t="shared" si="402"/>
        <v>34.909999999999997</v>
      </c>
      <c r="AO516" s="858">
        <f t="shared" si="403"/>
        <v>34.909999999999997</v>
      </c>
      <c r="AP516" s="2100" t="s">
        <v>74</v>
      </c>
      <c r="AQ516" s="1801">
        <f t="shared" si="404"/>
        <v>0</v>
      </c>
      <c r="AR516" s="856">
        <f t="shared" si="405"/>
        <v>0</v>
      </c>
      <c r="AT516" s="2"/>
    </row>
    <row r="517" spans="2:48">
      <c r="B517" s="25" t="s">
        <v>565</v>
      </c>
      <c r="C517" s="83" t="s">
        <v>3</v>
      </c>
      <c r="D517" s="260" t="s">
        <v>4</v>
      </c>
      <c r="E517" s="88" t="s">
        <v>69</v>
      </c>
      <c r="F517" s="68"/>
      <c r="G517" s="68"/>
      <c r="H517" s="68"/>
      <c r="I517" s="68"/>
      <c r="J517" s="68"/>
      <c r="K517" s="68"/>
      <c r="L517" s="68"/>
      <c r="M517" s="54"/>
      <c r="O517" s="1944" t="s">
        <v>123</v>
      </c>
      <c r="P517" s="1724"/>
      <c r="Q517" s="1569"/>
      <c r="R517" s="1724"/>
      <c r="S517" s="1569"/>
      <c r="T517" s="1724"/>
      <c r="U517" s="1569"/>
      <c r="V517" s="1724">
        <f t="shared" si="396"/>
        <v>0</v>
      </c>
      <c r="W517" s="1586">
        <f t="shared" si="397"/>
        <v>0</v>
      </c>
      <c r="X517" s="1724">
        <f t="shared" si="398"/>
        <v>0</v>
      </c>
      <c r="Y517" s="1585">
        <f t="shared" si="399"/>
        <v>0</v>
      </c>
      <c r="AA517" s="126" t="s">
        <v>112</v>
      </c>
      <c r="AB517" s="1789"/>
      <c r="AC517" s="842"/>
      <c r="AD517" s="1969"/>
      <c r="AE517" s="1598"/>
      <c r="AF517" s="1789"/>
      <c r="AG517" s="1681"/>
      <c r="AH517" s="1789">
        <f t="shared" si="407"/>
        <v>0</v>
      </c>
      <c r="AI517" s="1586">
        <f t="shared" si="400"/>
        <v>0</v>
      </c>
      <c r="AJ517" s="1789">
        <f t="shared" si="400"/>
        <v>0</v>
      </c>
      <c r="AK517" s="1585">
        <f t="shared" si="401"/>
        <v>0</v>
      </c>
      <c r="AM517" s="1944" t="s">
        <v>123</v>
      </c>
      <c r="AN517" s="1743">
        <f t="shared" si="402"/>
        <v>0</v>
      </c>
      <c r="AO517" s="858">
        <f t="shared" si="403"/>
        <v>0</v>
      </c>
      <c r="AP517" s="2039" t="s">
        <v>112</v>
      </c>
      <c r="AQ517" s="1801">
        <f t="shared" si="404"/>
        <v>0</v>
      </c>
      <c r="AR517" s="856">
        <f t="shared" si="405"/>
        <v>0</v>
      </c>
      <c r="AT517" s="855"/>
    </row>
    <row r="518" spans="2:48" ht="15.75" thickBot="1">
      <c r="B518" s="287" t="s">
        <v>566</v>
      </c>
      <c r="C518" s="13"/>
      <c r="D518" s="333" t="s">
        <v>71</v>
      </c>
      <c r="E518" s="61"/>
      <c r="K518" s="29"/>
      <c r="L518" s="29"/>
      <c r="M518" s="74"/>
      <c r="O518" s="560" t="s">
        <v>52</v>
      </c>
      <c r="P518" s="1724"/>
      <c r="Q518" s="1586"/>
      <c r="R518" s="1724">
        <f>I532</f>
        <v>55.75</v>
      </c>
      <c r="S518" s="1569">
        <f>J532</f>
        <v>41.71</v>
      </c>
      <c r="T518" s="1966"/>
      <c r="U518" s="1569"/>
      <c r="V518" s="1724">
        <f t="shared" si="396"/>
        <v>55.75</v>
      </c>
      <c r="W518" s="1586">
        <f t="shared" si="397"/>
        <v>41.71</v>
      </c>
      <c r="X518" s="1724">
        <f t="shared" si="398"/>
        <v>55.75</v>
      </c>
      <c r="Y518" s="1585">
        <f t="shared" si="399"/>
        <v>41.71</v>
      </c>
      <c r="AA518" s="125" t="s">
        <v>161</v>
      </c>
      <c r="AB518" s="1789"/>
      <c r="AC518" s="842"/>
      <c r="AD518" s="1789"/>
      <c r="AE518" s="1598"/>
      <c r="AF518" s="1789"/>
      <c r="AG518" s="1681"/>
      <c r="AH518" s="1789">
        <f t="shared" si="407"/>
        <v>0</v>
      </c>
      <c r="AI518" s="1586">
        <f t="shared" si="400"/>
        <v>0</v>
      </c>
      <c r="AJ518" s="1789">
        <f t="shared" si="400"/>
        <v>0</v>
      </c>
      <c r="AK518" s="1585">
        <f t="shared" si="401"/>
        <v>0</v>
      </c>
      <c r="AM518" s="495" t="s">
        <v>52</v>
      </c>
      <c r="AN518" s="1743">
        <f t="shared" si="402"/>
        <v>55.75</v>
      </c>
      <c r="AO518" s="858">
        <f t="shared" si="403"/>
        <v>41.71</v>
      </c>
      <c r="AP518" s="2100" t="s">
        <v>161</v>
      </c>
      <c r="AQ518" s="1801">
        <f t="shared" si="404"/>
        <v>0</v>
      </c>
      <c r="AR518" s="856">
        <f t="shared" si="405"/>
        <v>0</v>
      </c>
    </row>
    <row r="519" spans="2:48" ht="16.5" thickBot="1">
      <c r="B519" s="868" t="s">
        <v>563</v>
      </c>
      <c r="C519" s="99"/>
      <c r="D519" s="960"/>
      <c r="E519" s="501" t="s">
        <v>366</v>
      </c>
      <c r="F519" s="86"/>
      <c r="G519" s="765"/>
      <c r="H519" s="1185" t="s">
        <v>628</v>
      </c>
      <c r="I519" s="68"/>
      <c r="J519" s="54"/>
      <c r="K519" s="1493" t="s">
        <v>19</v>
      </c>
      <c r="L519" s="1496"/>
      <c r="M519" s="471"/>
      <c r="O519" s="2016" t="s">
        <v>912</v>
      </c>
      <c r="P519" s="2050">
        <f t="shared" ref="P519:U519" si="408">AB528</f>
        <v>0</v>
      </c>
      <c r="Q519" s="1598">
        <f t="shared" si="408"/>
        <v>0</v>
      </c>
      <c r="R519" s="2086">
        <f t="shared" si="408"/>
        <v>105</v>
      </c>
      <c r="S519" s="1598">
        <f t="shared" si="408"/>
        <v>70</v>
      </c>
      <c r="T519" s="1726">
        <f t="shared" si="408"/>
        <v>58.61</v>
      </c>
      <c r="U519" s="1598">
        <f t="shared" si="408"/>
        <v>46.47</v>
      </c>
      <c r="V519" s="2050">
        <f>P519+R519</f>
        <v>105</v>
      </c>
      <c r="W519" s="1597">
        <f t="shared" si="397"/>
        <v>70</v>
      </c>
      <c r="X519" s="2086">
        <f>R519+T519</f>
        <v>163.61000000000001</v>
      </c>
      <c r="Y519" s="1604">
        <f t="shared" si="399"/>
        <v>116.47</v>
      </c>
      <c r="AA519" s="125" t="s">
        <v>155</v>
      </c>
      <c r="AB519" s="2083"/>
      <c r="AC519" s="842"/>
      <c r="AD519" s="2083"/>
      <c r="AE519" s="1598"/>
      <c r="AF519" s="1789">
        <f>F550</f>
        <v>38.71</v>
      </c>
      <c r="AG519" s="1681">
        <f>G550</f>
        <v>30.87</v>
      </c>
      <c r="AH519" s="1789">
        <f t="shared" si="407"/>
        <v>0</v>
      </c>
      <c r="AI519" s="1586">
        <f t="shared" si="400"/>
        <v>0</v>
      </c>
      <c r="AJ519" s="1789">
        <f t="shared" si="400"/>
        <v>38.71</v>
      </c>
      <c r="AK519" s="1585">
        <f t="shared" si="401"/>
        <v>30.87</v>
      </c>
      <c r="AM519" s="2016" t="s">
        <v>96</v>
      </c>
      <c r="AN519" s="2077">
        <f t="shared" si="402"/>
        <v>163.61000000000001</v>
      </c>
      <c r="AO519" s="858">
        <f t="shared" si="403"/>
        <v>116.47</v>
      </c>
      <c r="AP519" s="2100" t="s">
        <v>155</v>
      </c>
      <c r="AQ519" s="1801">
        <f t="shared" si="404"/>
        <v>38.71</v>
      </c>
      <c r="AR519" s="856">
        <f t="shared" si="405"/>
        <v>30.87</v>
      </c>
    </row>
    <row r="520" spans="2:48" ht="15.75" thickBot="1">
      <c r="B520" s="88"/>
      <c r="C520" s="162" t="s">
        <v>199</v>
      </c>
      <c r="D520" s="54"/>
      <c r="E520" s="753" t="s">
        <v>427</v>
      </c>
      <c r="F520" s="104"/>
      <c r="G520" s="760"/>
      <c r="H520" s="879" t="s">
        <v>629</v>
      </c>
      <c r="I520" s="29"/>
      <c r="J520" s="74"/>
      <c r="K520" s="2571" t="s">
        <v>1016</v>
      </c>
      <c r="L520" s="29"/>
      <c r="M520" s="74"/>
      <c r="O520" s="1943" t="s">
        <v>901</v>
      </c>
      <c r="P520" s="1727">
        <f t="shared" ref="P520:U520" si="409">AB535</f>
        <v>119.175</v>
      </c>
      <c r="Q520" s="2021">
        <f t="shared" si="409"/>
        <v>105</v>
      </c>
      <c r="R520" s="1727">
        <f t="shared" si="409"/>
        <v>0</v>
      </c>
      <c r="S520" s="1569">
        <f t="shared" si="409"/>
        <v>0</v>
      </c>
      <c r="T520" s="1727">
        <f t="shared" si="409"/>
        <v>0</v>
      </c>
      <c r="U520" s="1569">
        <f t="shared" si="409"/>
        <v>0</v>
      </c>
      <c r="V520" s="1727">
        <f>P520+R520</f>
        <v>119.175</v>
      </c>
      <c r="W520" s="1586">
        <f t="shared" si="397"/>
        <v>105</v>
      </c>
      <c r="X520" s="1727">
        <f>R520+T520</f>
        <v>0</v>
      </c>
      <c r="Y520" s="1585">
        <f t="shared" si="399"/>
        <v>0</v>
      </c>
      <c r="AA520" s="125" t="s">
        <v>158</v>
      </c>
      <c r="AB520" s="1789"/>
      <c r="AC520" s="844"/>
      <c r="AD520" s="1789"/>
      <c r="AE520" s="1598"/>
      <c r="AF520" s="1789"/>
      <c r="AG520" s="1681"/>
      <c r="AH520" s="1789">
        <f t="shared" si="407"/>
        <v>0</v>
      </c>
      <c r="AI520" s="1586">
        <f t="shared" si="400"/>
        <v>0</v>
      </c>
      <c r="AJ520" s="1789">
        <f t="shared" si="400"/>
        <v>0</v>
      </c>
      <c r="AK520" s="1585">
        <f t="shared" si="401"/>
        <v>0</v>
      </c>
      <c r="AM520" s="1943" t="s">
        <v>901</v>
      </c>
      <c r="AN520" s="1743">
        <f t="shared" si="402"/>
        <v>119.175</v>
      </c>
      <c r="AO520" s="858">
        <f t="shared" si="403"/>
        <v>105</v>
      </c>
      <c r="AP520" s="2100" t="s">
        <v>158</v>
      </c>
      <c r="AQ520" s="1801">
        <f t="shared" si="404"/>
        <v>0</v>
      </c>
      <c r="AR520" s="856">
        <f t="shared" si="405"/>
        <v>0</v>
      </c>
    </row>
    <row r="521" spans="2:48" ht="15.75" thickBot="1">
      <c r="B521" s="399" t="s">
        <v>195</v>
      </c>
      <c r="C521" s="283" t="s">
        <v>366</v>
      </c>
      <c r="D521" s="166">
        <v>205</v>
      </c>
      <c r="E521" s="155" t="s">
        <v>118</v>
      </c>
      <c r="F521" s="103" t="s">
        <v>119</v>
      </c>
      <c r="G521" s="136" t="s">
        <v>120</v>
      </c>
      <c r="H521" s="313" t="s">
        <v>118</v>
      </c>
      <c r="I521" s="97" t="s">
        <v>119</v>
      </c>
      <c r="J521" s="135" t="s">
        <v>120</v>
      </c>
      <c r="K521" s="406" t="s">
        <v>118</v>
      </c>
      <c r="L521" s="97" t="s">
        <v>119</v>
      </c>
      <c r="M521" s="135" t="s">
        <v>120</v>
      </c>
      <c r="O521" s="1947" t="s">
        <v>122</v>
      </c>
      <c r="P521" s="1727"/>
      <c r="Q521" s="1569"/>
      <c r="R521" s="1727">
        <f>L540</f>
        <v>26.5</v>
      </c>
      <c r="S521" s="1569">
        <f>M540</f>
        <v>25</v>
      </c>
      <c r="T521" s="1727"/>
      <c r="U521" s="1569"/>
      <c r="V521" s="1724">
        <f t="shared" si="396"/>
        <v>26.5</v>
      </c>
      <c r="W521" s="1586">
        <f t="shared" si="397"/>
        <v>25</v>
      </c>
      <c r="X521" s="1727">
        <f>R521+T521</f>
        <v>26.5</v>
      </c>
      <c r="Y521" s="1585">
        <f t="shared" si="399"/>
        <v>25</v>
      </c>
      <c r="AA521" s="125" t="s">
        <v>101</v>
      </c>
      <c r="AB521" s="1789"/>
      <c r="AC521" s="844"/>
      <c r="AD521" s="1969">
        <f>F537</f>
        <v>12</v>
      </c>
      <c r="AE521" s="1598">
        <f>G537</f>
        <v>10</v>
      </c>
      <c r="AF521" s="1789">
        <f>F551</f>
        <v>13.26</v>
      </c>
      <c r="AG521" s="1681">
        <f>G551</f>
        <v>10.26</v>
      </c>
      <c r="AH521" s="1789">
        <f t="shared" si="407"/>
        <v>12</v>
      </c>
      <c r="AI521" s="1586">
        <f t="shared" si="400"/>
        <v>10</v>
      </c>
      <c r="AJ521" s="1789">
        <f t="shared" si="400"/>
        <v>25.259999999999998</v>
      </c>
      <c r="AK521" s="1585">
        <f t="shared" si="401"/>
        <v>20.259999999999998</v>
      </c>
      <c r="AM521" s="1947" t="s">
        <v>122</v>
      </c>
      <c r="AN521" s="1743">
        <f t="shared" si="402"/>
        <v>26.5</v>
      </c>
      <c r="AO521" s="858">
        <f t="shared" si="403"/>
        <v>25</v>
      </c>
      <c r="AP521" s="2100" t="s">
        <v>101</v>
      </c>
      <c r="AQ521" s="1801">
        <f t="shared" si="404"/>
        <v>25.259999999999998</v>
      </c>
      <c r="AR521" s="856">
        <f t="shared" si="405"/>
        <v>20.259999999999998</v>
      </c>
      <c r="AV521" s="855"/>
    </row>
    <row r="522" spans="2:48">
      <c r="B522" s="168"/>
      <c r="C522" s="167" t="s">
        <v>427</v>
      </c>
      <c r="D522" s="341"/>
      <c r="E522" s="98" t="s">
        <v>114</v>
      </c>
      <c r="F522" s="2524">
        <v>30</v>
      </c>
      <c r="G522" s="2525">
        <v>30</v>
      </c>
      <c r="H522" s="100" t="s">
        <v>428</v>
      </c>
      <c r="I522" s="123">
        <v>20.83</v>
      </c>
      <c r="J522" s="131">
        <v>20</v>
      </c>
      <c r="K522" s="1498" t="s">
        <v>429</v>
      </c>
      <c r="L522" s="128">
        <v>3.24</v>
      </c>
      <c r="M522" s="132">
        <v>3.24</v>
      </c>
      <c r="O522" s="1993" t="s">
        <v>313</v>
      </c>
      <c r="P522" s="1724"/>
      <c r="Q522" s="1569"/>
      <c r="R522" s="1724"/>
      <c r="S522" s="1569"/>
      <c r="T522" s="1724">
        <f>D547</f>
        <v>200</v>
      </c>
      <c r="U522" s="1569">
        <f>D547</f>
        <v>200</v>
      </c>
      <c r="V522" s="1724">
        <f t="shared" si="396"/>
        <v>0</v>
      </c>
      <c r="W522" s="1586">
        <f t="shared" si="397"/>
        <v>0</v>
      </c>
      <c r="X522" s="1724">
        <f t="shared" si="398"/>
        <v>200</v>
      </c>
      <c r="Y522" s="1585">
        <f t="shared" si="399"/>
        <v>200</v>
      </c>
      <c r="AA522" s="125" t="s">
        <v>79</v>
      </c>
      <c r="AB522" s="1789"/>
      <c r="AC522" s="842"/>
      <c r="AD522" s="1969"/>
      <c r="AE522" s="1598"/>
      <c r="AF522" s="1789">
        <f>F553</f>
        <v>6.64</v>
      </c>
      <c r="AG522" s="1681">
        <f>G553</f>
        <v>5.34</v>
      </c>
      <c r="AH522" s="1789">
        <f t="shared" si="407"/>
        <v>0</v>
      </c>
      <c r="AI522" s="1586">
        <f t="shared" si="400"/>
        <v>0</v>
      </c>
      <c r="AJ522" s="1789">
        <f t="shared" si="400"/>
        <v>6.64</v>
      </c>
      <c r="AK522" s="1585">
        <f t="shared" si="401"/>
        <v>5.34</v>
      </c>
      <c r="AM522" s="1993" t="s">
        <v>163</v>
      </c>
      <c r="AN522" s="1743">
        <f t="shared" si="402"/>
        <v>200</v>
      </c>
      <c r="AO522" s="858">
        <f t="shared" si="403"/>
        <v>200</v>
      </c>
      <c r="AP522" s="2100" t="s">
        <v>79</v>
      </c>
      <c r="AQ522" s="1801">
        <f t="shared" si="404"/>
        <v>6.64</v>
      </c>
      <c r="AR522" s="856">
        <f t="shared" si="405"/>
        <v>5.34</v>
      </c>
    </row>
    <row r="523" spans="2:48" ht="15.75" thickBot="1">
      <c r="B523" s="1180" t="s">
        <v>322</v>
      </c>
      <c r="C523" s="241" t="s">
        <v>309</v>
      </c>
      <c r="D523" s="425">
        <v>10</v>
      </c>
      <c r="E523" s="185" t="s">
        <v>93</v>
      </c>
      <c r="F523" s="2526">
        <v>160</v>
      </c>
      <c r="G523" s="1071">
        <v>160</v>
      </c>
      <c r="H523" s="61"/>
      <c r="J523" s="71"/>
      <c r="K523" s="340" t="s">
        <v>68</v>
      </c>
      <c r="L523" s="233">
        <v>200</v>
      </c>
      <c r="M523" s="235">
        <v>200</v>
      </c>
      <c r="O523" s="560" t="s">
        <v>895</v>
      </c>
      <c r="P523" s="1724">
        <f t="shared" ref="P523:U523" si="410">AB538</f>
        <v>0</v>
      </c>
      <c r="Q523" s="1569">
        <f t="shared" si="410"/>
        <v>0</v>
      </c>
      <c r="R523" s="1724">
        <f t="shared" si="410"/>
        <v>0</v>
      </c>
      <c r="S523" s="1569">
        <f t="shared" si="410"/>
        <v>0</v>
      </c>
      <c r="T523" s="1724">
        <f t="shared" si="410"/>
        <v>35.840000000000003</v>
      </c>
      <c r="U523" s="1569">
        <f t="shared" si="410"/>
        <v>30.99</v>
      </c>
      <c r="V523" s="1724">
        <f t="shared" si="396"/>
        <v>0</v>
      </c>
      <c r="W523" s="1586">
        <f t="shared" si="397"/>
        <v>0</v>
      </c>
      <c r="X523" s="1724">
        <f t="shared" si="398"/>
        <v>35.840000000000003</v>
      </c>
      <c r="Y523" s="1585">
        <f t="shared" si="399"/>
        <v>30.99</v>
      </c>
      <c r="AA523" s="125" t="s">
        <v>86</v>
      </c>
      <c r="AB523" s="1789"/>
      <c r="AC523" s="845"/>
      <c r="AD523" s="1789"/>
      <c r="AE523" s="1598"/>
      <c r="AF523" s="1789"/>
      <c r="AG523" s="1681"/>
      <c r="AH523" s="1789">
        <f t="shared" si="407"/>
        <v>0</v>
      </c>
      <c r="AI523" s="1586">
        <f t="shared" si="400"/>
        <v>0</v>
      </c>
      <c r="AJ523" s="1789">
        <f t="shared" si="400"/>
        <v>0</v>
      </c>
      <c r="AK523" s="1585">
        <f t="shared" si="401"/>
        <v>0</v>
      </c>
      <c r="AM523" s="560" t="s">
        <v>895</v>
      </c>
      <c r="AN523" s="1743">
        <f t="shared" si="402"/>
        <v>35.840000000000003</v>
      </c>
      <c r="AO523" s="858">
        <f t="shared" si="403"/>
        <v>30.99</v>
      </c>
      <c r="AP523" s="2100" t="s">
        <v>86</v>
      </c>
      <c r="AQ523" s="1801">
        <f t="shared" si="404"/>
        <v>0</v>
      </c>
      <c r="AR523" s="856">
        <f t="shared" si="405"/>
        <v>0</v>
      </c>
    </row>
    <row r="524" spans="2:48" ht="15.75" thickBot="1">
      <c r="B524" s="1184" t="s">
        <v>627</v>
      </c>
      <c r="C524" s="2570" t="s">
        <v>640</v>
      </c>
      <c r="D524" s="239">
        <v>20</v>
      </c>
      <c r="E524" s="185" t="s">
        <v>57</v>
      </c>
      <c r="F524" s="233">
        <v>5.7</v>
      </c>
      <c r="G524" s="247">
        <v>5.7</v>
      </c>
      <c r="H524" s="392" t="s">
        <v>403</v>
      </c>
      <c r="I524" s="38"/>
      <c r="J524" s="50"/>
      <c r="K524" s="851" t="s">
        <v>57</v>
      </c>
      <c r="L524" s="251">
        <v>5</v>
      </c>
      <c r="M524" s="255">
        <v>5</v>
      </c>
      <c r="O524" s="1944" t="s">
        <v>894</v>
      </c>
      <c r="P524" s="1724">
        <f t="shared" ref="P524:U524" si="411">AB542</f>
        <v>0</v>
      </c>
      <c r="Q524" s="1586">
        <f t="shared" si="411"/>
        <v>0</v>
      </c>
      <c r="R524" s="1724">
        <f t="shared" si="411"/>
        <v>141.42499999999998</v>
      </c>
      <c r="S524" s="1586">
        <f t="shared" si="411"/>
        <v>76.5</v>
      </c>
      <c r="T524" s="1724">
        <f t="shared" si="411"/>
        <v>42.26</v>
      </c>
      <c r="U524" s="1586">
        <f t="shared" si="411"/>
        <v>23.68</v>
      </c>
      <c r="V524" s="1724">
        <f t="shared" si="396"/>
        <v>141.42499999999998</v>
      </c>
      <c r="W524" s="1586">
        <f t="shared" si="397"/>
        <v>76.5</v>
      </c>
      <c r="X524" s="1724">
        <f t="shared" si="398"/>
        <v>183.68499999999997</v>
      </c>
      <c r="Y524" s="1585">
        <f t="shared" si="399"/>
        <v>100.18</v>
      </c>
      <c r="AA524" s="125" t="s">
        <v>160</v>
      </c>
      <c r="AB524" s="1789"/>
      <c r="AC524" s="846"/>
      <c r="AD524" s="1789"/>
      <c r="AE524" s="1598"/>
      <c r="AF524" s="1789"/>
      <c r="AG524" s="1681"/>
      <c r="AH524" s="1789">
        <f t="shared" si="407"/>
        <v>0</v>
      </c>
      <c r="AI524" s="1586">
        <f t="shared" si="400"/>
        <v>0</v>
      </c>
      <c r="AJ524" s="1789">
        <f t="shared" si="400"/>
        <v>0</v>
      </c>
      <c r="AK524" s="1585">
        <f t="shared" si="401"/>
        <v>0</v>
      </c>
      <c r="AM524" s="1944" t="s">
        <v>894</v>
      </c>
      <c r="AN524" s="1743">
        <f t="shared" si="402"/>
        <v>183.68499999999997</v>
      </c>
      <c r="AO524" s="858">
        <f t="shared" si="403"/>
        <v>100.18</v>
      </c>
      <c r="AP524" s="2100" t="s">
        <v>160</v>
      </c>
      <c r="AQ524" s="1801">
        <f t="shared" si="404"/>
        <v>0</v>
      </c>
      <c r="AR524" s="856">
        <f t="shared" si="405"/>
        <v>0</v>
      </c>
    </row>
    <row r="525" spans="2:48" ht="15.75" thickBot="1">
      <c r="B525" s="156" t="s">
        <v>490</v>
      </c>
      <c r="C525" s="283" t="s">
        <v>19</v>
      </c>
      <c r="D525" s="166">
        <v>200</v>
      </c>
      <c r="E525" s="186" t="s">
        <v>94</v>
      </c>
      <c r="F525" s="233">
        <v>9.39</v>
      </c>
      <c r="G525" s="235">
        <v>9.39</v>
      </c>
      <c r="H525" s="414" t="s">
        <v>118</v>
      </c>
      <c r="I525" s="252" t="s">
        <v>119</v>
      </c>
      <c r="J525" s="253" t="s">
        <v>120</v>
      </c>
      <c r="K525" s="851" t="s">
        <v>94</v>
      </c>
      <c r="L525" s="903">
        <v>10</v>
      </c>
      <c r="M525" s="904">
        <v>10</v>
      </c>
      <c r="O525" s="1944" t="s">
        <v>150</v>
      </c>
      <c r="P525" s="1724"/>
      <c r="Q525" s="1586"/>
      <c r="R525" s="1724"/>
      <c r="S525" s="1569"/>
      <c r="T525" s="1727"/>
      <c r="U525" s="1569"/>
      <c r="V525" s="1724">
        <f t="shared" si="396"/>
        <v>0</v>
      </c>
      <c r="W525" s="1586">
        <f t="shared" si="397"/>
        <v>0</v>
      </c>
      <c r="X525" s="1724">
        <f t="shared" si="398"/>
        <v>0</v>
      </c>
      <c r="Y525" s="1585">
        <f t="shared" si="399"/>
        <v>0</v>
      </c>
      <c r="AA525" s="125" t="s">
        <v>157</v>
      </c>
      <c r="AB525" s="2048"/>
      <c r="AC525" s="846"/>
      <c r="AD525" s="1969"/>
      <c r="AE525" s="1598"/>
      <c r="AF525" s="1789"/>
      <c r="AG525" s="1681"/>
      <c r="AH525" s="1789">
        <f t="shared" si="407"/>
        <v>0</v>
      </c>
      <c r="AI525" s="1586">
        <f t="shared" si="400"/>
        <v>0</v>
      </c>
      <c r="AJ525" s="1789">
        <f t="shared" si="400"/>
        <v>0</v>
      </c>
      <c r="AK525" s="1585">
        <f t="shared" si="401"/>
        <v>0</v>
      </c>
      <c r="AM525" s="1944" t="s">
        <v>150</v>
      </c>
      <c r="AN525" s="1743">
        <f t="shared" si="402"/>
        <v>0</v>
      </c>
      <c r="AO525" s="858">
        <f t="shared" si="403"/>
        <v>0</v>
      </c>
      <c r="AP525" s="2100" t="s">
        <v>157</v>
      </c>
      <c r="AQ525" s="1801">
        <f t="shared" si="404"/>
        <v>0</v>
      </c>
      <c r="AR525" s="856">
        <f t="shared" si="405"/>
        <v>0</v>
      </c>
    </row>
    <row r="526" spans="2:48" ht="15.75" thickBot="1">
      <c r="B526" s="359" t="s">
        <v>1017</v>
      </c>
      <c r="C526" s="1549" t="s">
        <v>1016</v>
      </c>
      <c r="D526" s="341"/>
      <c r="E526" s="186" t="s">
        <v>61</v>
      </c>
      <c r="F526" s="276">
        <v>0.3</v>
      </c>
      <c r="G526" s="236">
        <v>0.3</v>
      </c>
      <c r="H526" s="324" t="s">
        <v>55</v>
      </c>
      <c r="I526" s="747">
        <v>10</v>
      </c>
      <c r="J526" s="408">
        <v>10</v>
      </c>
      <c r="K526" s="473" t="s">
        <v>1015</v>
      </c>
      <c r="L526" s="38"/>
      <c r="M526" s="50"/>
      <c r="O526" s="1944" t="s">
        <v>75</v>
      </c>
      <c r="P526" s="1724"/>
      <c r="Q526" s="1569"/>
      <c r="R526" s="1724"/>
      <c r="S526" s="1569"/>
      <c r="T526" s="1724"/>
      <c r="U526" s="1569"/>
      <c r="V526" s="1724">
        <f t="shared" si="396"/>
        <v>0</v>
      </c>
      <c r="W526" s="1586">
        <f t="shared" si="397"/>
        <v>0</v>
      </c>
      <c r="X526" s="1724">
        <f t="shared" si="398"/>
        <v>0</v>
      </c>
      <c r="Y526" s="1585">
        <f t="shared" si="399"/>
        <v>0</v>
      </c>
      <c r="AA526" s="125" t="s">
        <v>156</v>
      </c>
      <c r="AB526" s="444"/>
      <c r="AC526" s="845"/>
      <c r="AD526" s="1789"/>
      <c r="AE526" s="1598"/>
      <c r="AF526" s="1789"/>
      <c r="AG526" s="1681"/>
      <c r="AH526" s="1789">
        <f t="shared" si="407"/>
        <v>0</v>
      </c>
      <c r="AI526" s="1586">
        <f t="shared" si="400"/>
        <v>0</v>
      </c>
      <c r="AJ526" s="1789">
        <f t="shared" si="400"/>
        <v>0</v>
      </c>
      <c r="AK526" s="1585">
        <f t="shared" si="401"/>
        <v>0</v>
      </c>
      <c r="AM526" s="1944" t="s">
        <v>75</v>
      </c>
      <c r="AN526" s="1743">
        <f t="shared" si="402"/>
        <v>0</v>
      </c>
      <c r="AO526" s="858">
        <f t="shared" si="403"/>
        <v>0</v>
      </c>
      <c r="AP526" s="2100" t="s">
        <v>156</v>
      </c>
      <c r="AQ526" s="1801">
        <f t="shared" si="404"/>
        <v>0</v>
      </c>
      <c r="AR526" s="856">
        <f t="shared" si="405"/>
        <v>0</v>
      </c>
    </row>
    <row r="527" spans="2:48" ht="15.75" thickBot="1">
      <c r="B527" s="338" t="s">
        <v>10</v>
      </c>
      <c r="C527" s="241" t="s">
        <v>11</v>
      </c>
      <c r="D527" s="239">
        <v>50</v>
      </c>
      <c r="E527" s="301" t="s">
        <v>95</v>
      </c>
      <c r="F527" s="302">
        <v>12</v>
      </c>
      <c r="G527" s="323">
        <v>12</v>
      </c>
      <c r="H527" s="474"/>
      <c r="I527" s="900"/>
      <c r="J527" s="905"/>
      <c r="K527" s="263" t="s">
        <v>118</v>
      </c>
      <c r="L527" s="97" t="s">
        <v>119</v>
      </c>
      <c r="M527" s="135" t="s">
        <v>120</v>
      </c>
      <c r="O527" s="1049" t="s">
        <v>68</v>
      </c>
      <c r="P527" s="1727">
        <f>F523+L523</f>
        <v>360</v>
      </c>
      <c r="Q527" s="2021">
        <f>G523+M523</f>
        <v>360</v>
      </c>
      <c r="R527" s="1966">
        <f>L533</f>
        <v>18</v>
      </c>
      <c r="S527" s="1586">
        <f>M533</f>
        <v>18</v>
      </c>
      <c r="T527" s="1724">
        <f>L548</f>
        <v>26.95</v>
      </c>
      <c r="U527" s="1586">
        <f>M548</f>
        <v>26.95</v>
      </c>
      <c r="V527" s="1724">
        <f t="shared" si="396"/>
        <v>378</v>
      </c>
      <c r="W527" s="1586">
        <f t="shared" si="397"/>
        <v>378</v>
      </c>
      <c r="X527" s="1724">
        <f t="shared" si="398"/>
        <v>44.95</v>
      </c>
      <c r="Y527" s="1585">
        <f t="shared" si="399"/>
        <v>44.95</v>
      </c>
      <c r="AA527" s="2004" t="s">
        <v>209</v>
      </c>
      <c r="AB527" s="1779"/>
      <c r="AC527" s="1710"/>
      <c r="AD527" s="1790"/>
      <c r="AE527" s="2005"/>
      <c r="AF527" s="1790"/>
      <c r="AG527" s="2006"/>
      <c r="AH527" s="1790">
        <f t="shared" si="407"/>
        <v>0</v>
      </c>
      <c r="AI527" s="1590">
        <f t="shared" si="400"/>
        <v>0</v>
      </c>
      <c r="AJ527" s="1790">
        <f t="shared" si="400"/>
        <v>0</v>
      </c>
      <c r="AK527" s="1814">
        <f t="shared" si="401"/>
        <v>0</v>
      </c>
      <c r="AM527" s="1944" t="s">
        <v>68</v>
      </c>
      <c r="AN527" s="2091">
        <f>P527+R527+T527</f>
        <v>404.95</v>
      </c>
      <c r="AO527" s="858">
        <f t="shared" si="403"/>
        <v>404.95</v>
      </c>
      <c r="AP527" s="2145" t="s">
        <v>545</v>
      </c>
      <c r="AQ527" s="2146">
        <f t="shared" si="404"/>
        <v>0</v>
      </c>
      <c r="AR527" s="856">
        <f t="shared" si="405"/>
        <v>0</v>
      </c>
    </row>
    <row r="528" spans="2:48" ht="15.75" thickBot="1">
      <c r="B528" s="338" t="s">
        <v>10</v>
      </c>
      <c r="C528" s="241" t="s">
        <v>792</v>
      </c>
      <c r="D528" s="239">
        <v>40</v>
      </c>
      <c r="E528" s="237"/>
      <c r="F528" s="232"/>
      <c r="G528" s="191"/>
      <c r="H528" s="57"/>
      <c r="I528" s="29"/>
      <c r="J528" s="74"/>
      <c r="K528" s="497" t="s">
        <v>228</v>
      </c>
      <c r="L528" s="2568">
        <v>119.175</v>
      </c>
      <c r="M528" s="479">
        <v>105</v>
      </c>
      <c r="O528" s="1049" t="s">
        <v>170</v>
      </c>
      <c r="P528" s="1724"/>
      <c r="Q528" s="1569"/>
      <c r="R528" s="1724"/>
      <c r="S528" s="1569"/>
      <c r="T528" s="1724"/>
      <c r="U528" s="1569"/>
      <c r="V528" s="1724">
        <f t="shared" si="396"/>
        <v>0</v>
      </c>
      <c r="W528" s="1586">
        <f t="shared" si="397"/>
        <v>0</v>
      </c>
      <c r="X528" s="1724">
        <f t="shared" si="398"/>
        <v>0</v>
      </c>
      <c r="Y528" s="1585">
        <f t="shared" si="399"/>
        <v>0</v>
      </c>
      <c r="AA528" s="2013" t="s">
        <v>96</v>
      </c>
      <c r="AB528" s="2084">
        <f t="shared" ref="AB528" si="412">SUM(AB513:AB527)</f>
        <v>0</v>
      </c>
      <c r="AC528" s="2014">
        <f>SUM(AC513:AC527)</f>
        <v>0</v>
      </c>
      <c r="AD528" s="1964">
        <f t="shared" ref="AD528" si="413">SUM(AD513:AD527)</f>
        <v>105</v>
      </c>
      <c r="AE528" s="2012">
        <f>SUM(AE513:AE527)</f>
        <v>70</v>
      </c>
      <c r="AF528" s="1964">
        <f t="shared" ref="AF528" si="414">SUM(AF513:AF527)</f>
        <v>58.61</v>
      </c>
      <c r="AG528" s="2012">
        <f>SUM(AG513:AG527)</f>
        <v>46.47</v>
      </c>
      <c r="AH528" s="1964">
        <f>AB528+AD528</f>
        <v>105</v>
      </c>
      <c r="AI528" s="2015">
        <f>AC528+AE528</f>
        <v>70</v>
      </c>
      <c r="AJ528" s="1964">
        <f>AD528+AF528</f>
        <v>163.61000000000001</v>
      </c>
      <c r="AK528" s="1717">
        <f>SUM(AK513:AK527)</f>
        <v>116.47</v>
      </c>
      <c r="AM528" s="1944" t="s">
        <v>170</v>
      </c>
      <c r="AN528" s="1743">
        <f t="shared" ref="AN528:AN542" si="415">P528+R528+T528</f>
        <v>0</v>
      </c>
      <c r="AO528" s="857">
        <f t="shared" si="403"/>
        <v>0</v>
      </c>
      <c r="AP528" s="2013" t="s">
        <v>96</v>
      </c>
      <c r="AQ528" s="2142">
        <f>AB528+AD528+AF528</f>
        <v>163.61000000000001</v>
      </c>
      <c r="AR528" s="856">
        <f t="shared" si="405"/>
        <v>116.47</v>
      </c>
    </row>
    <row r="529" spans="2:44" ht="15.75" thickBot="1">
      <c r="B529" s="1522" t="s">
        <v>1004</v>
      </c>
      <c r="C529" s="283" t="s">
        <v>1015</v>
      </c>
      <c r="D529" s="166">
        <v>105</v>
      </c>
      <c r="E529" s="516" t="s">
        <v>212</v>
      </c>
      <c r="F529" s="278"/>
      <c r="G529" s="50"/>
      <c r="H529" s="828" t="s">
        <v>386</v>
      </c>
      <c r="I529" s="506"/>
      <c r="J529" s="507"/>
      <c r="K529" s="501" t="s">
        <v>220</v>
      </c>
      <c r="L529" s="472"/>
      <c r="M529" s="491"/>
      <c r="O529" s="1049" t="s">
        <v>73</v>
      </c>
      <c r="P529" s="1724"/>
      <c r="Q529" s="1587"/>
      <c r="R529" s="1966">
        <f>I533</f>
        <v>128.1</v>
      </c>
      <c r="S529" s="1629">
        <f>J533</f>
        <v>126</v>
      </c>
      <c r="T529" s="1727"/>
      <c r="U529" s="1587"/>
      <c r="V529" s="1724">
        <f t="shared" si="396"/>
        <v>128.1</v>
      </c>
      <c r="W529" s="1586">
        <f t="shared" si="397"/>
        <v>126</v>
      </c>
      <c r="X529" s="1724">
        <f t="shared" si="398"/>
        <v>128.1</v>
      </c>
      <c r="Y529" s="1585">
        <f t="shared" si="399"/>
        <v>126</v>
      </c>
      <c r="AA529" s="2008" t="s">
        <v>166</v>
      </c>
      <c r="AB529" s="2105"/>
      <c r="AC529" s="1714"/>
      <c r="AD529" s="2107">
        <f>F537+F545</f>
        <v>105</v>
      </c>
      <c r="AE529" s="2009">
        <f>G537+G545</f>
        <v>70</v>
      </c>
      <c r="AF529" s="2109">
        <f>F550+F551+F553</f>
        <v>58.61</v>
      </c>
      <c r="AG529" s="2009">
        <f>G550+G551+G553</f>
        <v>46.47</v>
      </c>
      <c r="AH529" s="1825">
        <f t="shared" ref="AH529" si="416">AB529+AD529</f>
        <v>105</v>
      </c>
      <c r="AI529" s="2010"/>
      <c r="AJ529" s="1825">
        <f t="shared" ref="AJ529" si="417">AD529+AF529</f>
        <v>163.61000000000001</v>
      </c>
      <c r="AK529" s="2093"/>
      <c r="AM529" s="1944" t="s">
        <v>73</v>
      </c>
      <c r="AN529" s="1743">
        <f t="shared" si="415"/>
        <v>128.1</v>
      </c>
      <c r="AO529" s="857">
        <f t="shared" si="403"/>
        <v>126</v>
      </c>
      <c r="AP529" s="2104" t="s">
        <v>166</v>
      </c>
      <c r="AQ529" s="1800">
        <f t="shared" si="404"/>
        <v>163.61000000000001</v>
      </c>
      <c r="AR529" s="839"/>
    </row>
    <row r="530" spans="2:44" ht="15.75" thickBot="1">
      <c r="B530" s="1139" t="s">
        <v>582</v>
      </c>
      <c r="C530" s="1136"/>
      <c r="D530" s="1137">
        <f>SUM(D521:D529)</f>
        <v>630</v>
      </c>
      <c r="E530" s="281" t="s">
        <v>118</v>
      </c>
      <c r="F530" s="97" t="s">
        <v>119</v>
      </c>
      <c r="G530" s="135" t="s">
        <v>120</v>
      </c>
      <c r="H530" s="912" t="s">
        <v>591</v>
      </c>
      <c r="I530" s="508"/>
      <c r="J530" s="509"/>
      <c r="K530" s="515" t="s">
        <v>118</v>
      </c>
      <c r="L530" s="229" t="s">
        <v>119</v>
      </c>
      <c r="M530" s="230" t="s">
        <v>120</v>
      </c>
      <c r="O530" s="1049" t="s">
        <v>54</v>
      </c>
      <c r="P530" s="1724">
        <f>I522</f>
        <v>20.83</v>
      </c>
      <c r="Q530" s="1587">
        <f>J522</f>
        <v>20</v>
      </c>
      <c r="R530" s="1966"/>
      <c r="S530" s="1587"/>
      <c r="T530" s="1724"/>
      <c r="U530" s="1587"/>
      <c r="V530" s="1724">
        <f t="shared" si="396"/>
        <v>20.83</v>
      </c>
      <c r="W530" s="1586">
        <f t="shared" si="397"/>
        <v>20</v>
      </c>
      <c r="X530" s="1724">
        <f t="shared" si="398"/>
        <v>0</v>
      </c>
      <c r="Y530" s="1585">
        <f t="shared" si="399"/>
        <v>0</v>
      </c>
      <c r="AA530" s="2094" t="s">
        <v>878</v>
      </c>
      <c r="AB530" s="2095"/>
      <c r="AC530" s="2096"/>
      <c r="AD530" s="1778"/>
      <c r="AE530" s="1815"/>
      <c r="AF530" s="1778"/>
      <c r="AG530" s="2097"/>
      <c r="AH530" s="1788"/>
      <c r="AI530" s="2098"/>
      <c r="AJ530" s="1788"/>
      <c r="AK530" s="1603"/>
      <c r="AM530" s="1944" t="s">
        <v>54</v>
      </c>
      <c r="AN530" s="1743">
        <f t="shared" si="415"/>
        <v>20.83</v>
      </c>
      <c r="AO530" s="857">
        <f t="shared" si="403"/>
        <v>20</v>
      </c>
      <c r="AP530" s="2118" t="s">
        <v>878</v>
      </c>
      <c r="AQ530" s="1839">
        <f>AB530+AD530+AF530</f>
        <v>0</v>
      </c>
      <c r="AR530" s="752">
        <f>AC530+AE530+AG530</f>
        <v>0</v>
      </c>
    </row>
    <row r="531" spans="2:44" ht="15.75" thickBot="1">
      <c r="B531" s="403"/>
      <c r="C531" s="162" t="s">
        <v>152</v>
      </c>
      <c r="D531" s="54"/>
      <c r="E531" s="480" t="s">
        <v>181</v>
      </c>
      <c r="F531" s="177">
        <v>17.5</v>
      </c>
      <c r="G531" s="264">
        <v>17.5</v>
      </c>
      <c r="H531" s="313" t="s">
        <v>118</v>
      </c>
      <c r="I531" s="97" t="s">
        <v>119</v>
      </c>
      <c r="J531" s="135" t="s">
        <v>120</v>
      </c>
      <c r="K531" s="1040" t="s">
        <v>233</v>
      </c>
      <c r="L531" s="919">
        <v>138.47999999999999</v>
      </c>
      <c r="M531" s="1082">
        <v>74</v>
      </c>
      <c r="O531" s="1049" t="s">
        <v>78</v>
      </c>
      <c r="P531" s="1966"/>
      <c r="Q531" s="1630"/>
      <c r="R531" s="1724">
        <f>I540</f>
        <v>8.75</v>
      </c>
      <c r="S531" s="1587">
        <f>J540</f>
        <v>8.75</v>
      </c>
      <c r="T531" s="1727">
        <f>L549</f>
        <v>0.8</v>
      </c>
      <c r="U531" s="2080">
        <f>M549</f>
        <v>0.8</v>
      </c>
      <c r="V531" s="1724">
        <f t="shared" si="396"/>
        <v>8.75</v>
      </c>
      <c r="W531" s="1586">
        <f t="shared" si="397"/>
        <v>8.75</v>
      </c>
      <c r="X531" s="1724">
        <f t="shared" si="398"/>
        <v>9.5500000000000007</v>
      </c>
      <c r="Y531" s="1585">
        <f t="shared" si="399"/>
        <v>9.5500000000000007</v>
      </c>
      <c r="AA531" s="1873" t="s">
        <v>879</v>
      </c>
      <c r="AB531" s="1777">
        <f>L528</f>
        <v>119.175</v>
      </c>
      <c r="AC531" s="1878">
        <f>M528</f>
        <v>105</v>
      </c>
      <c r="AD531" s="1680"/>
      <c r="AE531" s="1882"/>
      <c r="AF531" s="1789"/>
      <c r="AG531" s="1886"/>
      <c r="AH531" s="1789">
        <f t="shared" ref="AH531:AH535" si="418">AB531+AD531</f>
        <v>119.175</v>
      </c>
      <c r="AI531" s="1890">
        <f>AC531+AE531</f>
        <v>105</v>
      </c>
      <c r="AJ531" s="1789">
        <f t="shared" ref="AJ531:AJ554" si="419">AD531+AF531</f>
        <v>0</v>
      </c>
      <c r="AK531" s="1893">
        <f>AE531+AG531</f>
        <v>0</v>
      </c>
      <c r="AM531" s="1944" t="s">
        <v>78</v>
      </c>
      <c r="AN531" s="1743">
        <f t="shared" si="415"/>
        <v>9.5500000000000007</v>
      </c>
      <c r="AO531" s="1047">
        <f t="shared" si="403"/>
        <v>9.5500000000000007</v>
      </c>
      <c r="AP531" s="1660" t="s">
        <v>879</v>
      </c>
      <c r="AQ531" s="1840">
        <f>AB531+AD531+AF531</f>
        <v>119.175</v>
      </c>
      <c r="AR531" s="1667">
        <f>AC531+AE531+AG531</f>
        <v>105</v>
      </c>
    </row>
    <row r="532" spans="2:44">
      <c r="B532" s="1226" t="s">
        <v>651</v>
      </c>
      <c r="C532" s="398" t="s">
        <v>235</v>
      </c>
      <c r="D532" s="410">
        <v>60</v>
      </c>
      <c r="E532" s="186" t="s">
        <v>198</v>
      </c>
      <c r="F532" s="276">
        <v>1.2</v>
      </c>
      <c r="G532" s="236">
        <v>1.2</v>
      </c>
      <c r="H532" s="390" t="s">
        <v>314</v>
      </c>
      <c r="I532" s="1070">
        <v>55.75</v>
      </c>
      <c r="J532" s="1214">
        <v>41.71</v>
      </c>
      <c r="K532" s="185" t="s">
        <v>91</v>
      </c>
      <c r="L532" s="490">
        <v>26</v>
      </c>
      <c r="M532" s="235">
        <v>26</v>
      </c>
      <c r="O532" s="1049" t="s">
        <v>95</v>
      </c>
      <c r="P532" s="1966">
        <f>F527+I526</f>
        <v>22</v>
      </c>
      <c r="Q532" s="1586">
        <f>G527+J526</f>
        <v>22</v>
      </c>
      <c r="R532" s="1724">
        <f>I537+L534+G538</f>
        <v>15.299999999999999</v>
      </c>
      <c r="S532" s="1586">
        <f>G538+J537+M534</f>
        <v>15.299999999999999</v>
      </c>
      <c r="T532" s="1966">
        <f>F552+I548+L550</f>
        <v>2.8000000000000003</v>
      </c>
      <c r="U532" s="1586">
        <f>J548+G552+M550</f>
        <v>2.8000000000000003</v>
      </c>
      <c r="V532" s="1724">
        <f t="shared" si="396"/>
        <v>37.299999999999997</v>
      </c>
      <c r="W532" s="1586">
        <f t="shared" si="397"/>
        <v>37.299999999999997</v>
      </c>
      <c r="X532" s="1724">
        <f t="shared" si="398"/>
        <v>18.099999999999998</v>
      </c>
      <c r="Y532" s="1585">
        <f t="shared" si="399"/>
        <v>18.099999999999998</v>
      </c>
      <c r="AA532" s="1874" t="s">
        <v>880</v>
      </c>
      <c r="AB532" s="1782"/>
      <c r="AC532" s="1879"/>
      <c r="AD532" s="444"/>
      <c r="AE532" s="1883"/>
      <c r="AF532" s="1793"/>
      <c r="AG532" s="1887"/>
      <c r="AH532" s="1789">
        <f t="shared" si="418"/>
        <v>0</v>
      </c>
      <c r="AI532" s="1890">
        <f>AC532+AE532</f>
        <v>0</v>
      </c>
      <c r="AJ532" s="1789">
        <f t="shared" si="419"/>
        <v>0</v>
      </c>
      <c r="AK532" s="1893">
        <f>AE532+AG532</f>
        <v>0</v>
      </c>
      <c r="AM532" s="1944" t="s">
        <v>95</v>
      </c>
      <c r="AN532" s="1743">
        <f t="shared" si="415"/>
        <v>40.099999999999994</v>
      </c>
      <c r="AO532" s="1047">
        <f t="shared" si="403"/>
        <v>40.099999999999994</v>
      </c>
      <c r="AP532" s="1661" t="s">
        <v>880</v>
      </c>
      <c r="AQ532" s="1840">
        <f t="shared" ref="AQ532:AQ534" si="420">AB532+AD532+AF532</f>
        <v>0</v>
      </c>
      <c r="AR532" s="1667">
        <f t="shared" ref="AR532:AR534" si="421">AC532+AE532+AG532</f>
        <v>0</v>
      </c>
    </row>
    <row r="533" spans="2:44">
      <c r="B533" s="754"/>
      <c r="C533" s="1099" t="s">
        <v>601</v>
      </c>
      <c r="D533" s="341"/>
      <c r="E533" s="185" t="s">
        <v>225</v>
      </c>
      <c r="F533" s="1079" t="s">
        <v>976</v>
      </c>
      <c r="G533" s="257">
        <v>5</v>
      </c>
      <c r="H533" s="185" t="s">
        <v>106</v>
      </c>
      <c r="I533" s="233">
        <v>128.1</v>
      </c>
      <c r="J533" s="235">
        <v>126</v>
      </c>
      <c r="K533" s="185" t="s">
        <v>93</v>
      </c>
      <c r="L533" s="490">
        <v>18</v>
      </c>
      <c r="M533" s="235">
        <v>18</v>
      </c>
      <c r="O533" s="1049" t="s">
        <v>103</v>
      </c>
      <c r="P533" s="1724"/>
      <c r="Q533" s="1569"/>
      <c r="R533" s="1966">
        <f>L537</f>
        <v>5</v>
      </c>
      <c r="S533" s="1586">
        <f>M537</f>
        <v>5</v>
      </c>
      <c r="T533" s="1724"/>
      <c r="U533" s="1569"/>
      <c r="V533" s="1724">
        <f t="shared" si="396"/>
        <v>5</v>
      </c>
      <c r="W533" s="1586">
        <f t="shared" si="397"/>
        <v>5</v>
      </c>
      <c r="X533" s="1724">
        <f t="shared" si="398"/>
        <v>5</v>
      </c>
      <c r="Y533" s="1585">
        <f t="shared" si="399"/>
        <v>5</v>
      </c>
      <c r="AA533" s="1875" t="s">
        <v>881</v>
      </c>
      <c r="AB533" s="1782"/>
      <c r="AC533" s="1879"/>
      <c r="AD533" s="444"/>
      <c r="AE533" s="1883"/>
      <c r="AF533" s="1789"/>
      <c r="AG533" s="1887"/>
      <c r="AH533" s="1789">
        <f t="shared" si="418"/>
        <v>0</v>
      </c>
      <c r="AI533" s="1890">
        <f>AC533+AE533</f>
        <v>0</v>
      </c>
      <c r="AJ533" s="1789">
        <f t="shared" si="419"/>
        <v>0</v>
      </c>
      <c r="AK533" s="1893">
        <f>AE533+AG533</f>
        <v>0</v>
      </c>
      <c r="AM533" s="1944" t="s">
        <v>103</v>
      </c>
      <c r="AN533" s="1743">
        <f t="shared" si="415"/>
        <v>5</v>
      </c>
      <c r="AO533" s="1047">
        <f t="shared" si="403"/>
        <v>5</v>
      </c>
      <c r="AP533" s="1662" t="s">
        <v>881</v>
      </c>
      <c r="AQ533" s="1840">
        <f t="shared" si="420"/>
        <v>0</v>
      </c>
      <c r="AR533" s="1667">
        <f t="shared" si="421"/>
        <v>0</v>
      </c>
    </row>
    <row r="534" spans="2:44" ht="15.75" thickBot="1">
      <c r="B534" s="375" t="s">
        <v>10</v>
      </c>
      <c r="C534" s="241" t="s">
        <v>395</v>
      </c>
      <c r="D534" s="239">
        <v>60</v>
      </c>
      <c r="E534" s="185" t="s">
        <v>94</v>
      </c>
      <c r="F534" s="233">
        <v>3.5</v>
      </c>
      <c r="G534" s="235">
        <v>3.5</v>
      </c>
      <c r="H534" s="185" t="s">
        <v>241</v>
      </c>
      <c r="I534" s="271" t="s">
        <v>978</v>
      </c>
      <c r="J534" s="235">
        <v>6.2</v>
      </c>
      <c r="K534" s="185" t="s">
        <v>95</v>
      </c>
      <c r="L534" s="233">
        <v>1.2</v>
      </c>
      <c r="M534" s="235">
        <v>1.2</v>
      </c>
      <c r="O534" s="1049" t="s">
        <v>906</v>
      </c>
      <c r="P534" s="1724"/>
      <c r="Q534" s="1586"/>
      <c r="R534" s="1727">
        <f>S534/1000/0.04</f>
        <v>0.27999999999999997</v>
      </c>
      <c r="S534" s="1586">
        <f>G533+J534</f>
        <v>11.2</v>
      </c>
      <c r="T534" s="1979">
        <f>U534/1000/0.04</f>
        <v>9.2999999999999999E-2</v>
      </c>
      <c r="U534" s="1586">
        <f>J551</f>
        <v>3.72</v>
      </c>
      <c r="V534" s="1724">
        <f t="shared" si="396"/>
        <v>0.27999999999999997</v>
      </c>
      <c r="W534" s="1586">
        <f t="shared" si="397"/>
        <v>11.2</v>
      </c>
      <c r="X534" s="1724">
        <f t="shared" si="398"/>
        <v>0.373</v>
      </c>
      <c r="Y534" s="1585">
        <f t="shared" si="399"/>
        <v>14.92</v>
      </c>
      <c r="AA534" s="1876" t="s">
        <v>882</v>
      </c>
      <c r="AB534" s="1783"/>
      <c r="AC534" s="1880"/>
      <c r="AD534" s="1779"/>
      <c r="AE534" s="1884"/>
      <c r="AF534" s="1790"/>
      <c r="AG534" s="1888"/>
      <c r="AH534" s="1790">
        <f t="shared" si="418"/>
        <v>0</v>
      </c>
      <c r="AI534" s="1891"/>
      <c r="AJ534" s="1812">
        <f t="shared" si="419"/>
        <v>0</v>
      </c>
      <c r="AK534" s="2046"/>
      <c r="AM534" s="1944" t="s">
        <v>162</v>
      </c>
      <c r="AN534" s="1743">
        <f t="shared" si="415"/>
        <v>0.373</v>
      </c>
      <c r="AO534" s="1047">
        <f t="shared" si="403"/>
        <v>14.92</v>
      </c>
      <c r="AP534" s="1707" t="s">
        <v>882</v>
      </c>
      <c r="AQ534" s="1840">
        <f t="shared" si="420"/>
        <v>0</v>
      </c>
      <c r="AR534" s="1667">
        <f t="shared" si="421"/>
        <v>0</v>
      </c>
    </row>
    <row r="535" spans="2:44" ht="15.75" thickBot="1">
      <c r="B535" s="1522" t="s">
        <v>835</v>
      </c>
      <c r="C535" s="241" t="s">
        <v>212</v>
      </c>
      <c r="D535" s="419">
        <v>250</v>
      </c>
      <c r="E535" s="409" t="s">
        <v>97</v>
      </c>
      <c r="F535" s="493">
        <v>0.5</v>
      </c>
      <c r="G535" s="494">
        <v>0.5</v>
      </c>
      <c r="H535" s="185" t="s">
        <v>111</v>
      </c>
      <c r="I535" s="233">
        <v>4.4749999999999996</v>
      </c>
      <c r="J535" s="235">
        <v>4.4749999999999996</v>
      </c>
      <c r="K535" s="186" t="s">
        <v>116</v>
      </c>
      <c r="L535" s="276">
        <v>8.48</v>
      </c>
      <c r="M535" s="236">
        <v>8.48</v>
      </c>
      <c r="O535" s="1049" t="s">
        <v>57</v>
      </c>
      <c r="P535" s="2059">
        <f>F524+L524</f>
        <v>10.7</v>
      </c>
      <c r="Q535" s="1600">
        <f>G524+M524</f>
        <v>10.7</v>
      </c>
      <c r="R535" s="1724">
        <f>L541</f>
        <v>7</v>
      </c>
      <c r="S535" s="1600">
        <f>M541</f>
        <v>7</v>
      </c>
      <c r="T535" s="1724"/>
      <c r="U535" s="1600"/>
      <c r="V535" s="1724">
        <f t="shared" si="396"/>
        <v>17.7</v>
      </c>
      <c r="W535" s="1586">
        <f t="shared" si="397"/>
        <v>17.7</v>
      </c>
      <c r="X535" s="1724">
        <f t="shared" si="398"/>
        <v>7</v>
      </c>
      <c r="Y535" s="1585">
        <f t="shared" si="399"/>
        <v>7</v>
      </c>
      <c r="AA535" s="1877" t="s">
        <v>883</v>
      </c>
      <c r="AB535" s="1896">
        <f>SUM(AB531:AB534)</f>
        <v>119.175</v>
      </c>
      <c r="AC535" s="1881">
        <f>AC531+AC532+AC533+AC534</f>
        <v>105</v>
      </c>
      <c r="AD535" s="1968">
        <f>AD531+AD532+AD533+AD534</f>
        <v>0</v>
      </c>
      <c r="AE535" s="1885">
        <f>AE531+AE532+AE533+AE534</f>
        <v>0</v>
      </c>
      <c r="AF535" s="1898">
        <f>SUM(AF531:AF534)</f>
        <v>0</v>
      </c>
      <c r="AG535" s="1889">
        <f>SUM(AG531:AG534)</f>
        <v>0</v>
      </c>
      <c r="AH535" s="1898">
        <f t="shared" si="418"/>
        <v>119.175</v>
      </c>
      <c r="AI535" s="1892">
        <f>AC535+AE535</f>
        <v>105</v>
      </c>
      <c r="AJ535" s="1898">
        <f t="shared" si="419"/>
        <v>0</v>
      </c>
      <c r="AK535" s="1895">
        <f>AE535+AG535</f>
        <v>0</v>
      </c>
      <c r="AM535" s="1944" t="s">
        <v>57</v>
      </c>
      <c r="AN535" s="1743">
        <f t="shared" si="415"/>
        <v>17.7</v>
      </c>
      <c r="AO535" s="1047">
        <f t="shared" si="403"/>
        <v>17.7</v>
      </c>
      <c r="AP535" s="1719" t="s">
        <v>883</v>
      </c>
      <c r="AQ535" s="2119">
        <f>AB535+AD535+AF535</f>
        <v>119.175</v>
      </c>
      <c r="AR535" s="2120">
        <f>AC535+AE535+AG535</f>
        <v>105</v>
      </c>
    </row>
    <row r="536" spans="2:44">
      <c r="B536" s="156" t="s">
        <v>20</v>
      </c>
      <c r="C536" s="283" t="s">
        <v>115</v>
      </c>
      <c r="D536" s="166">
        <v>100</v>
      </c>
      <c r="E536" s="645" t="s">
        <v>527</v>
      </c>
      <c r="F536" s="505"/>
      <c r="G536" s="165"/>
      <c r="H536" s="185" t="s">
        <v>620</v>
      </c>
      <c r="I536" s="233">
        <v>4.4000000000000004</v>
      </c>
      <c r="J536" s="235">
        <v>4.4000000000000004</v>
      </c>
      <c r="K536" s="186" t="s">
        <v>92</v>
      </c>
      <c r="L536" s="276">
        <v>0.56000000000000005</v>
      </c>
      <c r="M536" s="236">
        <v>0.56000000000000005</v>
      </c>
      <c r="N536" s="1133"/>
      <c r="O536" s="1049" t="s">
        <v>171</v>
      </c>
      <c r="P536" s="1724"/>
      <c r="Q536" s="1569"/>
      <c r="R536" s="1724">
        <f>D534</f>
        <v>60</v>
      </c>
      <c r="S536" s="1569">
        <f>D534</f>
        <v>60</v>
      </c>
      <c r="T536" s="1724"/>
      <c r="U536" s="1569"/>
      <c r="V536" s="1724">
        <f t="shared" si="396"/>
        <v>60</v>
      </c>
      <c r="W536" s="1586">
        <f t="shared" si="397"/>
        <v>60</v>
      </c>
      <c r="X536" s="1724">
        <f t="shared" si="398"/>
        <v>60</v>
      </c>
      <c r="Y536" s="1585">
        <f t="shared" si="399"/>
        <v>60</v>
      </c>
      <c r="AA536" s="1702" t="s">
        <v>896</v>
      </c>
      <c r="AB536" s="1784"/>
      <c r="AC536" s="2140">
        <f>J517</f>
        <v>0</v>
      </c>
      <c r="AD536" s="1788"/>
      <c r="AE536" s="1704"/>
      <c r="AF536" s="1784">
        <f>F548</f>
        <v>35.840000000000003</v>
      </c>
      <c r="AG536" s="1703">
        <f>G548</f>
        <v>30.99</v>
      </c>
      <c r="AH536" s="1788"/>
      <c r="AI536" s="1769">
        <f>AC536+AE536</f>
        <v>0</v>
      </c>
      <c r="AJ536" s="1788">
        <f t="shared" si="419"/>
        <v>35.840000000000003</v>
      </c>
      <c r="AK536" s="1806">
        <f>AE536+AG536</f>
        <v>30.99</v>
      </c>
      <c r="AM536" s="1944" t="s">
        <v>171</v>
      </c>
      <c r="AN536" s="1743">
        <f t="shared" si="415"/>
        <v>60</v>
      </c>
      <c r="AO536" s="1047">
        <f t="shared" si="403"/>
        <v>60</v>
      </c>
      <c r="AP536" s="2121" t="s">
        <v>389</v>
      </c>
      <c r="AQ536" s="2122">
        <f t="shared" ref="AQ536:AQ537" si="422">AB536+AD536+AF536</f>
        <v>35.840000000000003</v>
      </c>
      <c r="AR536" s="2123">
        <f t="shared" ref="AR536:AR537" si="423">AC536+AE536+AG536</f>
        <v>30.99</v>
      </c>
    </row>
    <row r="537" spans="2:44" ht="15.75" thickBot="1">
      <c r="B537" s="404"/>
      <c r="C537" s="756" t="s">
        <v>125</v>
      </c>
      <c r="D537" s="71"/>
      <c r="E537" s="185" t="s">
        <v>221</v>
      </c>
      <c r="F537" s="256">
        <v>12</v>
      </c>
      <c r="G537" s="257">
        <v>10</v>
      </c>
      <c r="H537" s="185" t="s">
        <v>95</v>
      </c>
      <c r="I537" s="233">
        <v>9.1</v>
      </c>
      <c r="J537" s="235">
        <v>9.1</v>
      </c>
      <c r="K537" s="185" t="s">
        <v>103</v>
      </c>
      <c r="L537" s="276">
        <v>5</v>
      </c>
      <c r="M537" s="236">
        <v>5</v>
      </c>
      <c r="N537" s="1133"/>
      <c r="O537" s="1049" t="s">
        <v>59</v>
      </c>
      <c r="P537" s="1724"/>
      <c r="Q537" s="1569"/>
      <c r="R537" s="1724"/>
      <c r="S537" s="1569"/>
      <c r="T537" s="1724"/>
      <c r="U537" s="1569"/>
      <c r="V537" s="1724">
        <f t="shared" si="396"/>
        <v>0</v>
      </c>
      <c r="W537" s="1586">
        <f t="shared" si="397"/>
        <v>0</v>
      </c>
      <c r="X537" s="1724">
        <f t="shared" si="398"/>
        <v>0</v>
      </c>
      <c r="Y537" s="1585">
        <f t="shared" si="399"/>
        <v>0</v>
      </c>
      <c r="AA537" s="1692" t="s">
        <v>897</v>
      </c>
      <c r="AB537" s="1783"/>
      <c r="AC537" s="1693"/>
      <c r="AD537" s="1790"/>
      <c r="AE537" s="2061"/>
      <c r="AF537" s="1783"/>
      <c r="AG537" s="1693"/>
      <c r="AH537" s="1790">
        <f t="shared" ref="AH537:AH554" si="424">AB537+AD537</f>
        <v>0</v>
      </c>
      <c r="AI537" s="1770">
        <f>AC537+AE537</f>
        <v>0</v>
      </c>
      <c r="AJ537" s="1790">
        <f t="shared" si="419"/>
        <v>0</v>
      </c>
      <c r="AK537" s="1807">
        <f>AE537+AG537</f>
        <v>0</v>
      </c>
      <c r="AM537" s="1944" t="s">
        <v>59</v>
      </c>
      <c r="AN537" s="1743">
        <f t="shared" si="415"/>
        <v>0</v>
      </c>
      <c r="AO537" s="1047">
        <f t="shared" si="403"/>
        <v>0</v>
      </c>
      <c r="AP537" s="1692" t="s">
        <v>188</v>
      </c>
      <c r="AQ537" s="1840">
        <f t="shared" si="422"/>
        <v>0</v>
      </c>
      <c r="AR537" s="1667">
        <f t="shared" si="423"/>
        <v>0</v>
      </c>
    </row>
    <row r="538" spans="2:44" ht="15.75" thickBot="1">
      <c r="B538" s="156" t="s">
        <v>546</v>
      </c>
      <c r="C538" s="283" t="s">
        <v>386</v>
      </c>
      <c r="D538" s="755" t="s">
        <v>646</v>
      </c>
      <c r="E538" s="185" t="s">
        <v>95</v>
      </c>
      <c r="F538" s="256">
        <v>5</v>
      </c>
      <c r="G538" s="257">
        <v>5</v>
      </c>
      <c r="H538" s="185" t="s">
        <v>116</v>
      </c>
      <c r="I538" s="233">
        <v>6</v>
      </c>
      <c r="J538" s="235">
        <v>6</v>
      </c>
      <c r="K538" s="1492" t="s">
        <v>418</v>
      </c>
      <c r="L538" s="38"/>
      <c r="M538" s="291"/>
      <c r="N538" s="1133"/>
      <c r="O538" s="1049" t="s">
        <v>169</v>
      </c>
      <c r="P538" s="1724">
        <f>L522</f>
        <v>3.24</v>
      </c>
      <c r="Q538" s="1569">
        <f>M522</f>
        <v>3.24</v>
      </c>
      <c r="R538" s="1724"/>
      <c r="S538" s="1569"/>
      <c r="T538" s="1724"/>
      <c r="U538" s="1569"/>
      <c r="V538" s="1724">
        <f t="shared" si="396"/>
        <v>3.24</v>
      </c>
      <c r="W538" s="1586">
        <f t="shared" si="397"/>
        <v>3.24</v>
      </c>
      <c r="X538" s="1724">
        <f t="shared" si="398"/>
        <v>0</v>
      </c>
      <c r="Y538" s="1585">
        <f t="shared" si="399"/>
        <v>0</v>
      </c>
      <c r="AA538" s="1721" t="s">
        <v>876</v>
      </c>
      <c r="AB538" s="1867">
        <f t="shared" ref="AB538" si="425">SUM(AB536:AB537)</f>
        <v>0</v>
      </c>
      <c r="AC538" s="2056">
        <f t="shared" ref="AC538" si="426">SUM(AC536:AC537)</f>
        <v>0</v>
      </c>
      <c r="AD538" s="1865">
        <f t="shared" ref="AD538" si="427">SUM(AD536:AD537)</f>
        <v>0</v>
      </c>
      <c r="AE538" s="1698">
        <f t="shared" ref="AE538" si="428">SUM(AE536:AE537)</f>
        <v>0</v>
      </c>
      <c r="AF538" s="1867">
        <f t="shared" ref="AF538" si="429">SUM(AF536:AF537)</f>
        <v>35.840000000000003</v>
      </c>
      <c r="AG538" s="1866">
        <f t="shared" ref="AG538" si="430">SUM(AG536:AG537)</f>
        <v>30.99</v>
      </c>
      <c r="AH538" s="1796">
        <f t="shared" si="424"/>
        <v>0</v>
      </c>
      <c r="AI538" s="1771">
        <f>AC538+AE538</f>
        <v>0</v>
      </c>
      <c r="AJ538" s="1796">
        <f t="shared" si="419"/>
        <v>35.840000000000003</v>
      </c>
      <c r="AK538" s="1699">
        <f>AE538+AG538</f>
        <v>30.99</v>
      </c>
      <c r="AM538" s="1944" t="s">
        <v>169</v>
      </c>
      <c r="AN538" s="1743">
        <f t="shared" si="415"/>
        <v>3.24</v>
      </c>
      <c r="AO538" s="1047">
        <f t="shared" si="403"/>
        <v>3.24</v>
      </c>
      <c r="AP538" s="1721" t="s">
        <v>876</v>
      </c>
      <c r="AQ538" s="2124">
        <f>AB538+AD538+AF538</f>
        <v>35.840000000000003</v>
      </c>
      <c r="AR538" s="2125">
        <f>AC538+AE538+AG538</f>
        <v>30.99</v>
      </c>
    </row>
    <row r="539" spans="2:44" ht="15.75" thickBot="1">
      <c r="B539" s="404" t="s">
        <v>829</v>
      </c>
      <c r="C539" s="167" t="s">
        <v>591</v>
      </c>
      <c r="D539" s="341"/>
      <c r="E539" s="270" t="s">
        <v>97</v>
      </c>
      <c r="F539" s="272">
        <v>1.1000000000000001</v>
      </c>
      <c r="G539" s="273">
        <v>1.1000000000000001</v>
      </c>
      <c r="H539" s="915" t="s">
        <v>180</v>
      </c>
      <c r="J539" s="71"/>
      <c r="K539" s="286" t="s">
        <v>118</v>
      </c>
      <c r="L539" s="102" t="s">
        <v>119</v>
      </c>
      <c r="M539" s="133" t="s">
        <v>120</v>
      </c>
      <c r="N539" s="1133"/>
      <c r="O539" s="1049" t="s">
        <v>168</v>
      </c>
      <c r="P539" s="1724"/>
      <c r="Q539" s="1569"/>
      <c r="R539" s="1724"/>
      <c r="S539" s="1569"/>
      <c r="T539" s="1724"/>
      <c r="U539" s="1569"/>
      <c r="V539" s="1724">
        <f t="shared" si="396"/>
        <v>0</v>
      </c>
      <c r="W539" s="1586">
        <f t="shared" si="397"/>
        <v>0</v>
      </c>
      <c r="X539" s="1724">
        <f t="shared" si="398"/>
        <v>0</v>
      </c>
      <c r="Y539" s="1585">
        <f t="shared" si="399"/>
        <v>0</v>
      </c>
      <c r="AA539" s="1843" t="s">
        <v>387</v>
      </c>
      <c r="AB539" s="1900"/>
      <c r="AC539" s="1901"/>
      <c r="AD539" s="1899"/>
      <c r="AE539" s="1846"/>
      <c r="AF539" s="1900"/>
      <c r="AG539" s="1901"/>
      <c r="AH539" s="1788">
        <f t="shared" si="424"/>
        <v>0</v>
      </c>
      <c r="AI539" s="1852"/>
      <c r="AJ539" s="1788">
        <f t="shared" si="419"/>
        <v>0</v>
      </c>
      <c r="AK539" s="1856"/>
      <c r="AM539" s="1944" t="s">
        <v>168</v>
      </c>
      <c r="AN539" s="1743">
        <f t="shared" si="415"/>
        <v>0</v>
      </c>
      <c r="AO539" s="1047">
        <f t="shared" si="403"/>
        <v>0</v>
      </c>
      <c r="AP539" s="2126" t="s">
        <v>387</v>
      </c>
      <c r="AQ539" s="2122">
        <f t="shared" ref="AQ539:AQ541" si="431">AB539+AD539+AF539</f>
        <v>0</v>
      </c>
      <c r="AR539" s="2123">
        <f t="shared" ref="AR539:AR541" si="432">AC539+AE539+AG539</f>
        <v>0</v>
      </c>
    </row>
    <row r="540" spans="2:44">
      <c r="B540" s="1190" t="s">
        <v>637</v>
      </c>
      <c r="C540" s="283" t="s">
        <v>230</v>
      </c>
      <c r="D540" s="429">
        <v>200</v>
      </c>
      <c r="E540" s="270" t="s">
        <v>222</v>
      </c>
      <c r="F540" s="234">
        <v>0.01</v>
      </c>
      <c r="G540" s="269">
        <v>0.01</v>
      </c>
      <c r="H540" s="185" t="s">
        <v>108</v>
      </c>
      <c r="I540" s="233">
        <v>8.75</v>
      </c>
      <c r="J540" s="235">
        <v>8.75</v>
      </c>
      <c r="K540" s="100" t="s">
        <v>100</v>
      </c>
      <c r="L540" s="123">
        <v>26.5</v>
      </c>
      <c r="M540" s="309">
        <v>25</v>
      </c>
      <c r="N540" s="1133"/>
      <c r="O540" s="1049" t="s">
        <v>89</v>
      </c>
      <c r="P540" s="1724"/>
      <c r="Q540" s="1569"/>
      <c r="R540" s="1724"/>
      <c r="S540" s="1569"/>
      <c r="T540" s="1724"/>
      <c r="U540" s="1569"/>
      <c r="V540" s="1724">
        <f t="shared" si="396"/>
        <v>0</v>
      </c>
      <c r="W540" s="1586">
        <f t="shared" si="397"/>
        <v>0</v>
      </c>
      <c r="X540" s="1724">
        <f t="shared" si="398"/>
        <v>0</v>
      </c>
      <c r="Y540" s="1585">
        <f t="shared" si="399"/>
        <v>0</v>
      </c>
      <c r="AA540" s="1844" t="s">
        <v>121</v>
      </c>
      <c r="AB540" s="1902"/>
      <c r="AC540" s="1848"/>
      <c r="AD540" s="1965"/>
      <c r="AE540" s="1904"/>
      <c r="AF540" s="1902"/>
      <c r="AG540" s="1848"/>
      <c r="AH540" s="1789">
        <f t="shared" si="424"/>
        <v>0</v>
      </c>
      <c r="AI540" s="1853">
        <f>AC540+AE540</f>
        <v>0</v>
      </c>
      <c r="AJ540" s="1789">
        <f t="shared" si="419"/>
        <v>0</v>
      </c>
      <c r="AK540" s="1857">
        <f t="shared" ref="AK540:AK554" si="433">AE540+AG540</f>
        <v>0</v>
      </c>
      <c r="AM540" s="1944" t="s">
        <v>89</v>
      </c>
      <c r="AN540" s="1743">
        <f t="shared" si="415"/>
        <v>0</v>
      </c>
      <c r="AO540" s="1047">
        <f t="shared" si="403"/>
        <v>0</v>
      </c>
      <c r="AP540" s="1844" t="s">
        <v>121</v>
      </c>
      <c r="AQ540" s="1840">
        <f t="shared" si="431"/>
        <v>0</v>
      </c>
      <c r="AR540" s="1667">
        <f t="shared" si="432"/>
        <v>0</v>
      </c>
    </row>
    <row r="541" spans="2:44" ht="15.75" thickBot="1">
      <c r="B541" s="168"/>
      <c r="C541" s="167" t="s">
        <v>318</v>
      </c>
      <c r="D541" s="341"/>
      <c r="E541" s="1073" t="s">
        <v>975</v>
      </c>
      <c r="F541" s="251">
        <v>237.7</v>
      </c>
      <c r="G541" s="255">
        <v>237.7</v>
      </c>
      <c r="H541" s="185" t="s">
        <v>111</v>
      </c>
      <c r="I541" s="233">
        <v>2.63</v>
      </c>
      <c r="J541" s="235">
        <v>2.63</v>
      </c>
      <c r="K541" s="185" t="s">
        <v>57</v>
      </c>
      <c r="L541" s="233">
        <v>7</v>
      </c>
      <c r="M541" s="247">
        <v>7</v>
      </c>
      <c r="N541" s="1133"/>
      <c r="O541" s="1049" t="s">
        <v>61</v>
      </c>
      <c r="P541" s="1724">
        <f>F526</f>
        <v>0.3</v>
      </c>
      <c r="Q541" s="1569">
        <f>G526</f>
        <v>0.3</v>
      </c>
      <c r="R541" s="1724">
        <f>F539+I544+F535</f>
        <v>1.9500000000000002</v>
      </c>
      <c r="S541" s="1569">
        <f>G539+G535+J544</f>
        <v>1.9500000000000002</v>
      </c>
      <c r="T541" s="1727">
        <f>I552+L553</f>
        <v>1.3</v>
      </c>
      <c r="U541" s="1569">
        <f>J552+M553</f>
        <v>1.3</v>
      </c>
      <c r="V541" s="1724">
        <f>P541+R541</f>
        <v>2.25</v>
      </c>
      <c r="W541" s="1586">
        <f t="shared" si="397"/>
        <v>2.25</v>
      </c>
      <c r="X541" s="1724">
        <f t="shared" si="398"/>
        <v>3.25</v>
      </c>
      <c r="Y541" s="1585">
        <f t="shared" si="399"/>
        <v>3.25</v>
      </c>
      <c r="AA541" s="1845" t="s">
        <v>388</v>
      </c>
      <c r="AB541" s="1903"/>
      <c r="AC541" s="1868"/>
      <c r="AD541" s="2168">
        <f>F542+L531</f>
        <v>141.42499999999998</v>
      </c>
      <c r="AE541" s="2169">
        <f>G542+M531</f>
        <v>76.5</v>
      </c>
      <c r="AF541" s="2177">
        <f>F549</f>
        <v>42.26</v>
      </c>
      <c r="AG541" s="2178">
        <f>G549</f>
        <v>23.68</v>
      </c>
      <c r="AH541" s="1790">
        <f t="shared" si="424"/>
        <v>141.42499999999998</v>
      </c>
      <c r="AI541" s="1854">
        <f>AC541+AE541</f>
        <v>76.5</v>
      </c>
      <c r="AJ541" s="1790">
        <f t="shared" si="419"/>
        <v>183.68499999999997</v>
      </c>
      <c r="AK541" s="1858">
        <f t="shared" si="433"/>
        <v>100.18</v>
      </c>
      <c r="AM541" s="1944" t="s">
        <v>61</v>
      </c>
      <c r="AN541" s="1743">
        <f t="shared" si="415"/>
        <v>3.55</v>
      </c>
      <c r="AO541" s="1047">
        <f t="shared" si="403"/>
        <v>3.55</v>
      </c>
      <c r="AP541" s="1845" t="s">
        <v>388</v>
      </c>
      <c r="AQ541" s="1840">
        <f t="shared" si="431"/>
        <v>183.68499999999997</v>
      </c>
      <c r="AR541" s="1667">
        <f t="shared" si="432"/>
        <v>100.18</v>
      </c>
    </row>
    <row r="542" spans="2:44" ht="15.75" thickBot="1">
      <c r="B542" s="338" t="s">
        <v>10</v>
      </c>
      <c r="C542" s="241" t="s">
        <v>11</v>
      </c>
      <c r="D542" s="239">
        <v>40</v>
      </c>
      <c r="E542" s="389" t="s">
        <v>311</v>
      </c>
      <c r="F542" s="233">
        <v>2.9449999999999998</v>
      </c>
      <c r="G542" s="236">
        <v>2.5</v>
      </c>
      <c r="H542" s="185" t="s">
        <v>94</v>
      </c>
      <c r="I542" s="233">
        <v>26.3</v>
      </c>
      <c r="J542" s="235">
        <v>26.3</v>
      </c>
      <c r="K542" s="185" t="s">
        <v>94</v>
      </c>
      <c r="L542" s="233">
        <v>190</v>
      </c>
      <c r="M542" s="247">
        <v>190</v>
      </c>
      <c r="O542" s="1049" t="s">
        <v>143</v>
      </c>
      <c r="P542" s="1724"/>
      <c r="Q542" s="1569"/>
      <c r="R542" s="1724">
        <f>I536</f>
        <v>4.4000000000000004</v>
      </c>
      <c r="S542" s="1569">
        <f>J536</f>
        <v>4.4000000000000004</v>
      </c>
      <c r="T542" s="1724"/>
      <c r="U542" s="1569"/>
      <c r="V542" s="1724">
        <f t="shared" si="396"/>
        <v>4.4000000000000004</v>
      </c>
      <c r="W542" s="1586">
        <f t="shared" si="397"/>
        <v>4.4000000000000004</v>
      </c>
      <c r="X542" s="1724">
        <f t="shared" si="398"/>
        <v>4.4000000000000004</v>
      </c>
      <c r="Y542" s="1585">
        <f t="shared" si="399"/>
        <v>4.4000000000000004</v>
      </c>
      <c r="AA542" s="1850" t="s">
        <v>875</v>
      </c>
      <c r="AB542" s="1871">
        <f t="shared" ref="AB542" si="434">AB539+AB540+AB541</f>
        <v>0</v>
      </c>
      <c r="AC542" s="1851">
        <f t="shared" ref="AC542" si="435">AC539+AC540+AC541</f>
        <v>0</v>
      </c>
      <c r="AD542" s="1871">
        <f t="shared" ref="AD542" si="436">AD539+AD540+AD541</f>
        <v>141.42499999999998</v>
      </c>
      <c r="AE542" s="1851">
        <f t="shared" ref="AE542" si="437">AE539+AE540+AE541</f>
        <v>76.5</v>
      </c>
      <c r="AF542" s="1871">
        <f t="shared" ref="AF542" si="438">AF539+AF540+AF541</f>
        <v>42.26</v>
      </c>
      <c r="AG542" s="1851">
        <f t="shared" ref="AG542" si="439">AG539+AG540+AG541</f>
        <v>23.68</v>
      </c>
      <c r="AH542" s="1791">
        <f t="shared" si="424"/>
        <v>141.42499999999998</v>
      </c>
      <c r="AI542" s="1855">
        <f>AC542+AE542</f>
        <v>76.5</v>
      </c>
      <c r="AJ542" s="1791">
        <f t="shared" si="419"/>
        <v>183.68499999999997</v>
      </c>
      <c r="AK542" s="1859">
        <f t="shared" si="433"/>
        <v>100.18</v>
      </c>
      <c r="AM542" s="1944" t="s">
        <v>143</v>
      </c>
      <c r="AN542" s="1743">
        <f t="shared" si="415"/>
        <v>4.4000000000000004</v>
      </c>
      <c r="AO542" s="1047">
        <f t="shared" si="403"/>
        <v>4.4000000000000004</v>
      </c>
      <c r="AP542" s="1850" t="s">
        <v>875</v>
      </c>
      <c r="AQ542" s="2127">
        <f>AB542+AD542+AF542</f>
        <v>183.68499999999997</v>
      </c>
      <c r="AR542" s="2128">
        <f>AC542+AE542+AG542</f>
        <v>100.18</v>
      </c>
    </row>
    <row r="543" spans="2:44" ht="15.75" thickBot="1">
      <c r="B543" s="338" t="s">
        <v>10</v>
      </c>
      <c r="C543" s="241" t="s">
        <v>792</v>
      </c>
      <c r="D543" s="239">
        <v>30</v>
      </c>
      <c r="E543" s="1160" t="s">
        <v>235</v>
      </c>
      <c r="F543" s="312"/>
      <c r="G543" s="1034"/>
      <c r="H543" s="185" t="s">
        <v>222</v>
      </c>
      <c r="I543" s="467">
        <v>1E-3</v>
      </c>
      <c r="J543" s="468">
        <v>1E-3</v>
      </c>
      <c r="K543" s="61"/>
      <c r="M543" s="71"/>
      <c r="O543" s="1617" t="s">
        <v>229</v>
      </c>
      <c r="P543" s="2185">
        <f>P547+P546+P545+P544</f>
        <v>0</v>
      </c>
      <c r="Q543" s="1576">
        <f>Q544+Q545+Q546+Q547</f>
        <v>0</v>
      </c>
      <c r="R543" s="1911">
        <f>R544+R545+R546+R547</f>
        <v>1.0999999999999999E-2</v>
      </c>
      <c r="S543" s="1576">
        <f>S544+S545+S546+S547</f>
        <v>1.0999999999999999E-2</v>
      </c>
      <c r="T543" s="2081">
        <f>T544+T545+T546+T547</f>
        <v>0.78124000000000005</v>
      </c>
      <c r="U543" s="2082">
        <f>U544+U545+U546+U547</f>
        <v>0.78124000000000005</v>
      </c>
      <c r="V543" s="1912">
        <f>P543+R543</f>
        <v>1.0999999999999999E-2</v>
      </c>
      <c r="W543" s="1588">
        <f t="shared" si="397"/>
        <v>1.0999999999999999E-2</v>
      </c>
      <c r="X543" s="1979">
        <f>R543+T543</f>
        <v>0.79224000000000006</v>
      </c>
      <c r="Y543" s="1679">
        <f t="shared" si="399"/>
        <v>0.79224000000000006</v>
      </c>
      <c r="AA543" s="1695" t="s">
        <v>208</v>
      </c>
      <c r="AB543" s="1784"/>
      <c r="AC543" s="1696"/>
      <c r="AD543" s="1784"/>
      <c r="AE543" s="1697"/>
      <c r="AF543" s="1784"/>
      <c r="AG543" s="1758"/>
      <c r="AH543" s="1788">
        <f t="shared" si="424"/>
        <v>0</v>
      </c>
      <c r="AI543" s="1772">
        <f>AC543+AE543</f>
        <v>0</v>
      </c>
      <c r="AJ543" s="1788">
        <f t="shared" si="419"/>
        <v>0</v>
      </c>
      <c r="AK543" s="1603">
        <f t="shared" si="433"/>
        <v>0</v>
      </c>
      <c r="AM543" s="1948" t="s">
        <v>229</v>
      </c>
      <c r="AN543" s="2090">
        <f>P543+R543+T543</f>
        <v>0.79224000000000006</v>
      </c>
      <c r="AO543" s="1047">
        <f t="shared" si="403"/>
        <v>0.79224000000000006</v>
      </c>
      <c r="AP543" s="2129" t="s">
        <v>208</v>
      </c>
      <c r="AQ543" s="2122">
        <f t="shared" ref="AQ543:AQ550" si="440">AB543+AD543+AF543</f>
        <v>0</v>
      </c>
      <c r="AR543" s="2123">
        <f>AC543+AE543+AG543</f>
        <v>0</v>
      </c>
    </row>
    <row r="544" spans="2:44" ht="15.75" thickBot="1">
      <c r="B544" s="61"/>
      <c r="C544" s="1143"/>
      <c r="D544" s="71"/>
      <c r="E544" s="307" t="s">
        <v>118</v>
      </c>
      <c r="F544" s="102" t="s">
        <v>119</v>
      </c>
      <c r="G544" s="1084" t="s">
        <v>120</v>
      </c>
      <c r="H544" s="249" t="s">
        <v>61</v>
      </c>
      <c r="I544" s="302">
        <v>0.35</v>
      </c>
      <c r="J544" s="323">
        <v>0.35</v>
      </c>
      <c r="K544" s="61"/>
      <c r="M544" s="71"/>
      <c r="O544" s="1618" t="s">
        <v>222</v>
      </c>
      <c r="P544" s="1971"/>
      <c r="Q544" s="1572"/>
      <c r="R544" s="1971">
        <f>F540+I543</f>
        <v>1.0999999999999999E-2</v>
      </c>
      <c r="S544" s="1572">
        <f>G540+J543</f>
        <v>1.0999999999999999E-2</v>
      </c>
      <c r="T544" s="1971">
        <f>L552</f>
        <v>1.24E-3</v>
      </c>
      <c r="U544" s="1572">
        <f>M552</f>
        <v>1.24E-3</v>
      </c>
      <c r="V544" s="1775">
        <f>P544+R544</f>
        <v>1.0999999999999999E-2</v>
      </c>
      <c r="W544" s="1572"/>
      <c r="X544" s="1725">
        <f t="shared" si="398"/>
        <v>1.2239999999999999E-2</v>
      </c>
      <c r="Y544" s="1607"/>
      <c r="AA544" s="1663" t="s">
        <v>81</v>
      </c>
      <c r="AB544" s="1782"/>
      <c r="AC544" s="1599"/>
      <c r="AD544" s="1782"/>
      <c r="AE544" s="1670"/>
      <c r="AF544" s="1782"/>
      <c r="AG544" s="1682"/>
      <c r="AH544" s="1789">
        <f t="shared" si="424"/>
        <v>0</v>
      </c>
      <c r="AI544" s="1772">
        <f t="shared" ref="AI544:AI554" si="441">AC544+AE544</f>
        <v>0</v>
      </c>
      <c r="AJ544" s="1789">
        <f t="shared" si="419"/>
        <v>0</v>
      </c>
      <c r="AK544" s="1645">
        <f t="shared" si="433"/>
        <v>0</v>
      </c>
      <c r="AM544" s="1949" t="s">
        <v>222</v>
      </c>
      <c r="AN544" s="2076">
        <f t="shared" ref="AN544:AN547" si="442">P544+R544+T544</f>
        <v>1.2239999999999999E-2</v>
      </c>
      <c r="AO544" s="1594">
        <f t="shared" ref="AO544:AO547" si="443">Q544+S544+U544</f>
        <v>1.2239999999999999E-2</v>
      </c>
      <c r="AP544" s="1663" t="s">
        <v>81</v>
      </c>
      <c r="AQ544" s="1840">
        <f t="shared" si="440"/>
        <v>0</v>
      </c>
      <c r="AR544" s="1667">
        <f t="shared" ref="AR544:AR550" si="444">AC544+AE544+AG544</f>
        <v>0</v>
      </c>
    </row>
    <row r="545" spans="2:48" ht="15.75" thickBot="1">
      <c r="B545" s="1139" t="s">
        <v>583</v>
      </c>
      <c r="C545" s="1197"/>
      <c r="D545" s="1137">
        <f>D532+D534+D535+D536+D540+D542+D543+155+35</f>
        <v>930</v>
      </c>
      <c r="E545" s="1161" t="s">
        <v>602</v>
      </c>
      <c r="F545" s="1162">
        <v>93</v>
      </c>
      <c r="G545" s="1163">
        <v>60</v>
      </c>
      <c r="H545" s="237"/>
      <c r="I545" s="232"/>
      <c r="J545" s="191"/>
      <c r="K545" s="57"/>
      <c r="L545" s="29"/>
      <c r="M545" s="74"/>
      <c r="O545" s="1619" t="s">
        <v>679</v>
      </c>
      <c r="P545" s="1972"/>
      <c r="Q545" s="1573"/>
      <c r="R545" s="1972"/>
      <c r="S545" s="1573"/>
      <c r="T545" s="1972">
        <f>J553</f>
        <v>0.78</v>
      </c>
      <c r="U545" s="1573">
        <f>J553</f>
        <v>0.78</v>
      </c>
      <c r="V545" s="1775">
        <f t="shared" ref="V545:V546" si="445">P545+R545</f>
        <v>0</v>
      </c>
      <c r="W545" s="1573"/>
      <c r="X545" s="1725">
        <f t="shared" si="398"/>
        <v>0.78</v>
      </c>
      <c r="Y545" s="1608"/>
      <c r="AA545" s="1663" t="s">
        <v>83</v>
      </c>
      <c r="AB545" s="1785"/>
      <c r="AC545" s="1639"/>
      <c r="AD545" s="1785"/>
      <c r="AE545" s="1671"/>
      <c r="AF545" s="1785"/>
      <c r="AG545" s="1759"/>
      <c r="AH545" s="1789">
        <f t="shared" si="424"/>
        <v>0</v>
      </c>
      <c r="AI545" s="1772">
        <f t="shared" si="441"/>
        <v>0</v>
      </c>
      <c r="AJ545" s="1789">
        <f t="shared" si="419"/>
        <v>0</v>
      </c>
      <c r="AK545" s="1645">
        <f t="shared" si="433"/>
        <v>0</v>
      </c>
      <c r="AM545" s="1950" t="s">
        <v>679</v>
      </c>
      <c r="AN545" s="2076">
        <f t="shared" si="442"/>
        <v>0.78</v>
      </c>
      <c r="AO545" s="1594">
        <f t="shared" si="443"/>
        <v>0.78</v>
      </c>
      <c r="AP545" s="1663" t="s">
        <v>83</v>
      </c>
      <c r="AQ545" s="1840">
        <f t="shared" si="440"/>
        <v>0</v>
      </c>
      <c r="AR545" s="1667">
        <f t="shared" si="444"/>
        <v>0</v>
      </c>
    </row>
    <row r="546" spans="2:48" ht="15.75" thickBot="1">
      <c r="B546" s="403"/>
      <c r="C546" s="162" t="s">
        <v>324</v>
      </c>
      <c r="D546" s="835"/>
      <c r="E546" s="2174" t="s">
        <v>467</v>
      </c>
      <c r="F546" s="38"/>
      <c r="G546" s="38"/>
      <c r="H546" s="38"/>
      <c r="I546" s="38"/>
      <c r="J546" s="50"/>
      <c r="K546" s="37" t="s">
        <v>110</v>
      </c>
      <c r="L546" s="38"/>
      <c r="M546" s="50"/>
      <c r="O546" s="1620" t="s">
        <v>449</v>
      </c>
      <c r="P546" s="1982"/>
      <c r="Q546" s="1574"/>
      <c r="R546" s="1730"/>
      <c r="S546" s="1574"/>
      <c r="T546" s="1982"/>
      <c r="U546" s="1574"/>
      <c r="V546" s="1775">
        <f t="shared" si="445"/>
        <v>0</v>
      </c>
      <c r="W546" s="1574"/>
      <c r="X546" s="1725">
        <f t="shared" si="398"/>
        <v>0</v>
      </c>
      <c r="Y546" s="1609"/>
      <c r="AA546" s="1663" t="s">
        <v>84</v>
      </c>
      <c r="AB546" s="1782"/>
      <c r="AC546" s="1639"/>
      <c r="AD546" s="1782"/>
      <c r="AE546" s="1671"/>
      <c r="AF546" s="1782"/>
      <c r="AG546" s="1759"/>
      <c r="AH546" s="1789">
        <f t="shared" si="424"/>
        <v>0</v>
      </c>
      <c r="AI546" s="1772">
        <f t="shared" si="441"/>
        <v>0</v>
      </c>
      <c r="AJ546" s="1789">
        <f t="shared" si="419"/>
        <v>0</v>
      </c>
      <c r="AK546" s="1645">
        <f t="shared" si="433"/>
        <v>0</v>
      </c>
      <c r="AM546" s="1951" t="s">
        <v>449</v>
      </c>
      <c r="AN546" s="2076">
        <f t="shared" si="442"/>
        <v>0</v>
      </c>
      <c r="AO546" s="1594">
        <f t="shared" si="443"/>
        <v>0</v>
      </c>
      <c r="AP546" s="1663" t="s">
        <v>84</v>
      </c>
      <c r="AQ546" s="1840">
        <f t="shared" si="440"/>
        <v>0</v>
      </c>
      <c r="AR546" s="1667">
        <f t="shared" si="444"/>
        <v>0</v>
      </c>
    </row>
    <row r="547" spans="2:48" ht="15.75" thickBot="1">
      <c r="B547" s="246" t="s">
        <v>9</v>
      </c>
      <c r="C547" s="241" t="s">
        <v>151</v>
      </c>
      <c r="D547" s="285">
        <v>200</v>
      </c>
      <c r="E547" s="686" t="s">
        <v>118</v>
      </c>
      <c r="F547" s="252" t="s">
        <v>119</v>
      </c>
      <c r="G547" s="253" t="s">
        <v>120</v>
      </c>
      <c r="H547" s="686" t="s">
        <v>118</v>
      </c>
      <c r="I547" s="252" t="s">
        <v>119</v>
      </c>
      <c r="J547" s="253" t="s">
        <v>120</v>
      </c>
      <c r="K547" s="313" t="s">
        <v>118</v>
      </c>
      <c r="L547" s="97" t="s">
        <v>119</v>
      </c>
      <c r="M547" s="135" t="s">
        <v>120</v>
      </c>
      <c r="O547" s="1942" t="s">
        <v>167</v>
      </c>
      <c r="P547" s="1983"/>
      <c r="Q547" s="1574"/>
      <c r="R547" s="1725"/>
      <c r="S547" s="1574"/>
      <c r="T547" s="1983"/>
      <c r="U547" s="1574"/>
      <c r="V547" s="1976">
        <f>P547+R547</f>
        <v>0</v>
      </c>
      <c r="W547" s="1574"/>
      <c r="X547" s="1976">
        <f t="shared" si="398"/>
        <v>0</v>
      </c>
      <c r="Y547" s="1609"/>
      <c r="AA547" s="1663" t="s">
        <v>85</v>
      </c>
      <c r="AB547" s="1782"/>
      <c r="AC547" s="1599"/>
      <c r="AD547" s="1782"/>
      <c r="AE547" s="1670"/>
      <c r="AF547" s="1782"/>
      <c r="AG547" s="1682"/>
      <c r="AH547" s="1789">
        <f t="shared" si="424"/>
        <v>0</v>
      </c>
      <c r="AI547" s="1772">
        <f t="shared" si="441"/>
        <v>0</v>
      </c>
      <c r="AJ547" s="1789">
        <f t="shared" si="419"/>
        <v>0</v>
      </c>
      <c r="AK547" s="1645">
        <f t="shared" si="433"/>
        <v>0</v>
      </c>
      <c r="AM547" s="1953" t="s">
        <v>167</v>
      </c>
      <c r="AN547" s="2076">
        <f t="shared" si="442"/>
        <v>0</v>
      </c>
      <c r="AO547" s="1594">
        <f t="shared" si="443"/>
        <v>0</v>
      </c>
      <c r="AP547" s="1663" t="s">
        <v>85</v>
      </c>
      <c r="AQ547" s="1840">
        <f t="shared" si="440"/>
        <v>0</v>
      </c>
      <c r="AR547" s="1667">
        <f t="shared" si="444"/>
        <v>0</v>
      </c>
    </row>
    <row r="548" spans="2:48" ht="15.75" thickBot="1">
      <c r="B548" s="2175" t="s">
        <v>817</v>
      </c>
      <c r="C548" s="256" t="s">
        <v>467</v>
      </c>
      <c r="D548" s="428" t="s">
        <v>535</v>
      </c>
      <c r="E548" s="320" t="s">
        <v>99</v>
      </c>
      <c r="F548" s="128">
        <v>35.840000000000003</v>
      </c>
      <c r="G548" s="144">
        <v>30.99</v>
      </c>
      <c r="H548" s="216" t="s">
        <v>95</v>
      </c>
      <c r="I548" s="123">
        <v>1.1000000000000001</v>
      </c>
      <c r="J548" s="131">
        <v>1.1000000000000001</v>
      </c>
      <c r="K548" s="100" t="s">
        <v>93</v>
      </c>
      <c r="L548" s="128">
        <v>26.95</v>
      </c>
      <c r="M548" s="132">
        <v>26.95</v>
      </c>
      <c r="O548" s="195" t="s">
        <v>116</v>
      </c>
      <c r="P548" s="2060"/>
      <c r="Q548" s="2022"/>
      <c r="R548" s="1610">
        <f>I538+L535</f>
        <v>14.48</v>
      </c>
      <c r="S548" s="2022">
        <f>J538+M535</f>
        <v>14.48</v>
      </c>
      <c r="T548" s="1610"/>
      <c r="U548" s="2022"/>
      <c r="V548" s="1837">
        <f>P548+R548</f>
        <v>14.48</v>
      </c>
      <c r="W548" s="2022"/>
      <c r="X548" s="1837">
        <f>R548+T548</f>
        <v>14.48</v>
      </c>
      <c r="Y548" s="1611"/>
      <c r="AA548" s="1663" t="s">
        <v>87</v>
      </c>
      <c r="AB548" s="2092"/>
      <c r="AC548" s="1640"/>
      <c r="AD548" s="1782"/>
      <c r="AE548" s="1670"/>
      <c r="AF548" s="1782"/>
      <c r="AG548" s="1682"/>
      <c r="AH548" s="1789">
        <f t="shared" si="424"/>
        <v>0</v>
      </c>
      <c r="AI548" s="1772">
        <f t="shared" si="441"/>
        <v>0</v>
      </c>
      <c r="AJ548" s="1789">
        <f t="shared" si="419"/>
        <v>0</v>
      </c>
      <c r="AK548" s="1645">
        <f t="shared" si="433"/>
        <v>0</v>
      </c>
      <c r="AM548" s="573" t="s">
        <v>116</v>
      </c>
      <c r="AN548" s="2078">
        <f>P548+R548+T548</f>
        <v>14.48</v>
      </c>
      <c r="AO548" s="857">
        <f>Q548+S548+U548</f>
        <v>14.48</v>
      </c>
      <c r="AP548" s="1663" t="s">
        <v>87</v>
      </c>
      <c r="AQ548" s="1840">
        <f t="shared" si="440"/>
        <v>0</v>
      </c>
      <c r="AR548" s="1667">
        <f t="shared" si="444"/>
        <v>0</v>
      </c>
    </row>
    <row r="549" spans="2:48">
      <c r="B549" s="303" t="s">
        <v>10</v>
      </c>
      <c r="C549" s="167" t="s">
        <v>792</v>
      </c>
      <c r="D549" s="425">
        <v>20</v>
      </c>
      <c r="E549" s="270" t="s">
        <v>200</v>
      </c>
      <c r="F549" s="394">
        <v>42.26</v>
      </c>
      <c r="G549" s="991">
        <v>23.68</v>
      </c>
      <c r="H549" s="241" t="s">
        <v>447</v>
      </c>
      <c r="I549" s="233">
        <v>4.91</v>
      </c>
      <c r="J549" s="235">
        <v>4.91</v>
      </c>
      <c r="K549" s="503" t="s">
        <v>108</v>
      </c>
      <c r="L549" s="1166">
        <v>0.8</v>
      </c>
      <c r="M549" s="1167">
        <v>0.8</v>
      </c>
      <c r="O549" s="155"/>
      <c r="Q549" s="1570"/>
      <c r="S549" s="1570"/>
      <c r="U549" s="1570"/>
      <c r="W549" s="1570"/>
      <c r="Y549" s="1570"/>
      <c r="AA549" s="1663" t="s">
        <v>88</v>
      </c>
      <c r="AB549" s="1782"/>
      <c r="AC549" s="1599"/>
      <c r="AD549" s="1782"/>
      <c r="AE549" s="1670"/>
      <c r="AF549" s="1782"/>
      <c r="AG549" s="1682"/>
      <c r="AH549" s="1789">
        <f t="shared" si="424"/>
        <v>0</v>
      </c>
      <c r="AI549" s="1772">
        <f t="shared" si="441"/>
        <v>0</v>
      </c>
      <c r="AJ549" s="1789">
        <f t="shared" si="419"/>
        <v>0</v>
      </c>
      <c r="AK549" s="1645">
        <f t="shared" si="433"/>
        <v>0</v>
      </c>
      <c r="AP549" s="1663" t="s">
        <v>88</v>
      </c>
      <c r="AQ549" s="1840">
        <f t="shared" si="440"/>
        <v>0</v>
      </c>
      <c r="AR549" s="1667">
        <f t="shared" si="444"/>
        <v>0</v>
      </c>
    </row>
    <row r="550" spans="2:48" ht="15.75" thickBot="1">
      <c r="B550" s="61"/>
      <c r="C550" s="1143"/>
      <c r="D550" s="71"/>
      <c r="E550" s="270" t="s">
        <v>172</v>
      </c>
      <c r="F550" s="251">
        <v>38.71</v>
      </c>
      <c r="G550" s="268">
        <v>30.87</v>
      </c>
      <c r="H550" s="241" t="s">
        <v>94</v>
      </c>
      <c r="I550" s="233">
        <v>29.11</v>
      </c>
      <c r="J550" s="235"/>
      <c r="K550" s="185" t="s">
        <v>95</v>
      </c>
      <c r="L550" s="394">
        <v>0.4</v>
      </c>
      <c r="M550" s="510">
        <v>0.4</v>
      </c>
      <c r="Q550" s="367"/>
      <c r="S550" s="367"/>
      <c r="U550" s="1570"/>
      <c r="W550" s="1570"/>
      <c r="Y550" s="1570"/>
      <c r="AA550" s="1685" t="s">
        <v>90</v>
      </c>
      <c r="AB550" s="1927">
        <f>F522</f>
        <v>30</v>
      </c>
      <c r="AC550" s="1907">
        <f>G522</f>
        <v>30</v>
      </c>
      <c r="AD550" s="1783"/>
      <c r="AE550" s="1687"/>
      <c r="AF550" s="1783">
        <f>I549</f>
        <v>4.91</v>
      </c>
      <c r="AG550" s="1760">
        <f>J549</f>
        <v>4.91</v>
      </c>
      <c r="AH550" s="1790">
        <f t="shared" si="424"/>
        <v>30</v>
      </c>
      <c r="AI550" s="1772">
        <f t="shared" si="441"/>
        <v>30</v>
      </c>
      <c r="AJ550" s="1790">
        <f t="shared" si="419"/>
        <v>4.91</v>
      </c>
      <c r="AK550" s="1805">
        <f t="shared" si="433"/>
        <v>4.91</v>
      </c>
      <c r="AP550" s="1685" t="s">
        <v>90</v>
      </c>
      <c r="AQ550" s="1840">
        <f t="shared" si="440"/>
        <v>34.909999999999997</v>
      </c>
      <c r="AR550" s="1667">
        <f t="shared" si="444"/>
        <v>34.909999999999997</v>
      </c>
    </row>
    <row r="551" spans="2:48" ht="15.75" thickBot="1">
      <c r="B551" s="61"/>
      <c r="C551" s="999"/>
      <c r="D551" s="71"/>
      <c r="E551" s="185" t="s">
        <v>101</v>
      </c>
      <c r="F551" s="276">
        <v>13.26</v>
      </c>
      <c r="G551" s="275">
        <v>10.26</v>
      </c>
      <c r="H551" s="241" t="s">
        <v>225</v>
      </c>
      <c r="I551" s="1079" t="s">
        <v>993</v>
      </c>
      <c r="J551" s="257">
        <v>3.72</v>
      </c>
      <c r="K551" s="185" t="s">
        <v>92</v>
      </c>
      <c r="L551" s="394">
        <v>3.3</v>
      </c>
      <c r="M551" s="510">
        <v>3.3</v>
      </c>
      <c r="Q551" s="1570"/>
      <c r="S551" s="1570"/>
      <c r="U551" s="1570"/>
      <c r="W551" s="1570"/>
      <c r="Y551" s="1570"/>
      <c r="AA551" s="1688" t="s">
        <v>877</v>
      </c>
      <c r="AB551" s="1786">
        <f t="shared" ref="AB551" si="446">SUM(AB543:AB550)</f>
        <v>30</v>
      </c>
      <c r="AC551" s="1689">
        <f t="shared" ref="AC551" si="447">SUM(AC543:AC550)</f>
        <v>30</v>
      </c>
      <c r="AD551" s="1906">
        <f t="shared" ref="AD551" si="448">SUM(AD543:AD550)</f>
        <v>0</v>
      </c>
      <c r="AE551" s="1690">
        <f t="shared" ref="AE551" si="449">SUM(AE543:AE550)</f>
        <v>0</v>
      </c>
      <c r="AF551" s="1786">
        <f t="shared" ref="AF551" si="450">SUM(AF543:AF550)</f>
        <v>4.91</v>
      </c>
      <c r="AG551" s="1761">
        <f t="shared" ref="AG551" si="451">SUM(AG543:AG550)</f>
        <v>4.91</v>
      </c>
      <c r="AH551" s="1797">
        <f t="shared" si="424"/>
        <v>30</v>
      </c>
      <c r="AI551" s="1816">
        <f t="shared" si="441"/>
        <v>30</v>
      </c>
      <c r="AJ551" s="1797">
        <f t="shared" si="419"/>
        <v>4.91</v>
      </c>
      <c r="AK551" s="1691">
        <f t="shared" si="433"/>
        <v>4.91</v>
      </c>
      <c r="AP551" s="1688" t="s">
        <v>877</v>
      </c>
      <c r="AQ551" s="2130">
        <f>AB551+AD551+AF551</f>
        <v>34.909999999999997</v>
      </c>
      <c r="AR551" s="1672">
        <f>AC551+AE551+AG551</f>
        <v>34.909999999999997</v>
      </c>
    </row>
    <row r="552" spans="2:48">
      <c r="B552" s="61"/>
      <c r="C552" s="999"/>
      <c r="D552" s="71"/>
      <c r="E552" s="185" t="s">
        <v>95</v>
      </c>
      <c r="F552" s="394">
        <v>1.3</v>
      </c>
      <c r="G552" s="2176">
        <v>1.3</v>
      </c>
      <c r="H552" s="283" t="s">
        <v>61</v>
      </c>
      <c r="I552" s="493">
        <v>1</v>
      </c>
      <c r="J552" s="494">
        <v>1</v>
      </c>
      <c r="K552" s="270" t="s">
        <v>98</v>
      </c>
      <c r="L552" s="233">
        <v>1.24E-3</v>
      </c>
      <c r="M552" s="235">
        <v>1.24E-3</v>
      </c>
      <c r="Q552" s="1570"/>
      <c r="S552" s="1570"/>
      <c r="U552" s="1570"/>
      <c r="W552" s="1570"/>
      <c r="Y552" s="1570"/>
      <c r="AA552" s="2062" t="s">
        <v>93</v>
      </c>
      <c r="AB552" s="1784"/>
      <c r="AC552" s="2064"/>
      <c r="AD552" s="1788"/>
      <c r="AE552" s="2067"/>
      <c r="AF552" s="1784"/>
      <c r="AG552" s="2064"/>
      <c r="AH552" s="1788">
        <f t="shared" si="424"/>
        <v>0</v>
      </c>
      <c r="AI552" s="2069">
        <f t="shared" si="441"/>
        <v>0</v>
      </c>
      <c r="AJ552" s="1788">
        <f t="shared" si="419"/>
        <v>0</v>
      </c>
      <c r="AK552" s="1709">
        <f t="shared" si="433"/>
        <v>0</v>
      </c>
      <c r="AP552" s="2062" t="s">
        <v>93</v>
      </c>
      <c r="AQ552" s="2117">
        <f t="shared" ref="AQ552:AQ553" si="452">AB552+AD552+AF552</f>
        <v>0</v>
      </c>
      <c r="AR552" s="1708">
        <f t="shared" ref="AR552:AR553" si="453">AC552+AE552+AG552</f>
        <v>0</v>
      </c>
    </row>
    <row r="553" spans="2:48" ht="15.75" thickBot="1">
      <c r="B553" s="61"/>
      <c r="C553" s="999"/>
      <c r="D553" s="71"/>
      <c r="E553" s="409" t="s">
        <v>79</v>
      </c>
      <c r="F553" s="251">
        <v>6.64</v>
      </c>
      <c r="G553" s="268">
        <v>5.34</v>
      </c>
      <c r="H553" s="1227" t="s">
        <v>652</v>
      </c>
      <c r="I553" s="251"/>
      <c r="J553" s="293">
        <v>0.78</v>
      </c>
      <c r="K553" s="249" t="s">
        <v>97</v>
      </c>
      <c r="L553" s="251">
        <v>0.3</v>
      </c>
      <c r="M553" s="255">
        <v>0.3</v>
      </c>
      <c r="Q553" s="1570"/>
      <c r="S553" s="1570"/>
      <c r="U553" s="1570"/>
      <c r="W553" s="1570"/>
      <c r="Y553" s="1570"/>
      <c r="AA553" s="2063" t="s">
        <v>908</v>
      </c>
      <c r="AB553" s="1783"/>
      <c r="AC553" s="2065"/>
      <c r="AD553" s="1790"/>
      <c r="AE553" s="2068"/>
      <c r="AF553" s="1783"/>
      <c r="AG553" s="2065"/>
      <c r="AH553" s="1790">
        <f t="shared" si="424"/>
        <v>0</v>
      </c>
      <c r="AI553" s="1767">
        <f t="shared" si="441"/>
        <v>0</v>
      </c>
      <c r="AJ553" s="1790">
        <f t="shared" si="419"/>
        <v>0</v>
      </c>
      <c r="AK553" s="1701">
        <f t="shared" si="433"/>
        <v>0</v>
      </c>
      <c r="AP553" s="2063" t="s">
        <v>908</v>
      </c>
      <c r="AQ553" s="2074">
        <f t="shared" si="452"/>
        <v>0</v>
      </c>
      <c r="AR553" s="1700">
        <f t="shared" si="453"/>
        <v>0</v>
      </c>
      <c r="AV553" s="94"/>
    </row>
    <row r="554" spans="2:48" ht="15.75" thickBot="1">
      <c r="B554" s="1139" t="s">
        <v>584</v>
      </c>
      <c r="C554" s="1136"/>
      <c r="D554" s="1137">
        <f>D547+D549+100+30</f>
        <v>350</v>
      </c>
      <c r="E554" s="237"/>
      <c r="F554" s="232"/>
      <c r="G554" s="232"/>
      <c r="H554" s="232"/>
      <c r="I554" s="1164"/>
      <c r="J554" s="1165"/>
      <c r="K554" s="195" t="s">
        <v>94</v>
      </c>
      <c r="L554" s="200">
        <v>5.9</v>
      </c>
      <c r="M554" s="290">
        <v>5.9</v>
      </c>
      <c r="Q554" s="1570"/>
      <c r="S554" s="1570"/>
      <c r="U554" s="1570"/>
      <c r="W554" s="1570"/>
      <c r="Y554" s="1570"/>
      <c r="AA554" s="1720" t="s">
        <v>909</v>
      </c>
      <c r="AB554" s="2070">
        <f t="shared" ref="AB554" si="454">SUM(AB552:AB553)</f>
        <v>0</v>
      </c>
      <c r="AC554" s="2066">
        <f t="shared" ref="AC554" si="455">SUM(AC552:AC553)</f>
        <v>0</v>
      </c>
      <c r="AD554" s="2071">
        <f t="shared" ref="AD554" si="456">SUM(AD552:AD553)</f>
        <v>0</v>
      </c>
      <c r="AE554" s="1705">
        <f t="shared" ref="AE554" si="457">SUM(AE552:AE553)</f>
        <v>0</v>
      </c>
      <c r="AF554" s="2070">
        <f t="shared" ref="AF554" si="458">SUM(AF552:AF553)</f>
        <v>0</v>
      </c>
      <c r="AG554" s="2072">
        <f t="shared" ref="AG554" si="459">SUM(AG552:AG553)</f>
        <v>0</v>
      </c>
      <c r="AH554" s="1795">
        <f t="shared" si="424"/>
        <v>0</v>
      </c>
      <c r="AI554" s="1768">
        <f t="shared" si="441"/>
        <v>0</v>
      </c>
      <c r="AJ554" s="1795">
        <f t="shared" si="419"/>
        <v>0</v>
      </c>
      <c r="AK554" s="1706">
        <f t="shared" si="433"/>
        <v>0</v>
      </c>
      <c r="AP554" s="1720" t="s">
        <v>909</v>
      </c>
      <c r="AQ554" s="2075">
        <f>AB554+AD554+AF554</f>
        <v>0</v>
      </c>
      <c r="AR554" s="1705">
        <f>AC554+AE554+AG554</f>
        <v>0</v>
      </c>
    </row>
    <row r="555" spans="2:48">
      <c r="H555" s="207"/>
      <c r="I555" s="1085"/>
      <c r="J555" s="198"/>
      <c r="Q555" s="1570"/>
      <c r="S555" s="1570"/>
      <c r="U555" s="1570"/>
      <c r="W555" s="1570"/>
      <c r="Y555" s="1570"/>
      <c r="AB555" s="62"/>
      <c r="AD555" s="62"/>
      <c r="AE555" s="1570"/>
      <c r="AF555" s="786"/>
      <c r="AG555" s="1570"/>
      <c r="AH555" s="62"/>
      <c r="AI555" s="282"/>
      <c r="AJ555" s="62"/>
      <c r="AK555" s="1570"/>
    </row>
    <row r="556" spans="2:48">
      <c r="Q556" s="1570"/>
      <c r="S556" s="1570"/>
      <c r="U556" s="1570"/>
      <c r="W556" s="1570"/>
      <c r="Y556" s="1570"/>
      <c r="AB556" s="62"/>
      <c r="AD556" s="62"/>
      <c r="AE556" s="1674"/>
      <c r="AF556" s="786"/>
      <c r="AG556" s="1570"/>
      <c r="AH556" s="62"/>
      <c r="AI556" s="282"/>
      <c r="AJ556" s="62"/>
      <c r="AK556" s="1570"/>
    </row>
    <row r="557" spans="2:48">
      <c r="O557" s="836"/>
      <c r="Q557" s="1570"/>
      <c r="S557" s="1570"/>
      <c r="U557" s="1570"/>
      <c r="W557" s="1570"/>
      <c r="Y557" s="1570"/>
      <c r="AB557" s="62"/>
      <c r="AD557" s="62"/>
      <c r="AE557" s="1570"/>
      <c r="AF557" s="786"/>
      <c r="AG557" s="1570"/>
      <c r="AH557" s="62"/>
      <c r="AI557" s="282"/>
      <c r="AJ557" s="62"/>
      <c r="AK557" s="1570"/>
      <c r="AV557" s="48"/>
    </row>
    <row r="558" spans="2:48">
      <c r="N558" s="207"/>
      <c r="O558" s="4"/>
      <c r="Q558" s="367"/>
      <c r="S558" s="367"/>
      <c r="U558" s="1570"/>
      <c r="W558" s="1570"/>
      <c r="Y558" s="1570"/>
      <c r="AB558" s="62"/>
      <c r="AD558" s="62"/>
      <c r="AE558" s="1570"/>
      <c r="AF558" s="786"/>
      <c r="AG558" s="1570"/>
      <c r="AH558" s="62"/>
      <c r="AI558" s="282"/>
      <c r="AJ558" s="62"/>
      <c r="AK558" s="1570"/>
    </row>
    <row r="559" spans="2:48">
      <c r="O559" s="4"/>
      <c r="Q559" s="367"/>
      <c r="S559" s="367"/>
      <c r="U559" s="1570"/>
      <c r="W559" s="1570"/>
      <c r="Y559" s="1570"/>
      <c r="AB559" s="62"/>
      <c r="AD559" s="62"/>
      <c r="AE559" s="1570"/>
      <c r="AF559" s="786"/>
      <c r="AG559" s="1570"/>
      <c r="AH559" s="62"/>
      <c r="AI559" s="282"/>
      <c r="AJ559" s="62"/>
      <c r="AK559" s="1570"/>
    </row>
    <row r="560" spans="2:48">
      <c r="C560" s="171" t="s">
        <v>551</v>
      </c>
      <c r="G560" s="2"/>
      <c r="H560" s="2"/>
      <c r="I560" s="2"/>
      <c r="L560" s="2"/>
      <c r="O560" s="4"/>
      <c r="Q560" s="367"/>
      <c r="S560" s="367"/>
      <c r="U560" s="1570"/>
      <c r="W560" s="1570"/>
      <c r="Y560" s="1570"/>
      <c r="AB560" s="62"/>
      <c r="AD560" s="62"/>
      <c r="AE560" s="1570"/>
      <c r="AF560" s="786"/>
      <c r="AG560" s="1570"/>
      <c r="AH560" s="62"/>
      <c r="AI560" s="282"/>
      <c r="AJ560" s="62"/>
      <c r="AK560" s="1570"/>
    </row>
    <row r="561" spans="2:48">
      <c r="C561"/>
      <c r="D561" s="94" t="s">
        <v>354</v>
      </c>
      <c r="F561" s="15"/>
      <c r="K561" s="87"/>
      <c r="O561" s="4"/>
      <c r="Q561" s="1577"/>
      <c r="S561" s="1577"/>
      <c r="U561" s="1570"/>
      <c r="W561" s="1570"/>
      <c r="Y561" s="1570"/>
      <c r="AA561" t="s">
        <v>872</v>
      </c>
      <c r="AK561" s="1570"/>
    </row>
    <row r="562" spans="2:48">
      <c r="O562" s="4"/>
      <c r="Q562" s="1570"/>
      <c r="S562" s="1570"/>
      <c r="U562" s="1570"/>
      <c r="W562" s="1570"/>
      <c r="Y562" s="1570"/>
      <c r="AA562" s="94" t="str">
        <f>O564</f>
        <v>11- й   день</v>
      </c>
      <c r="AB562" s="201" t="s">
        <v>513</v>
      </c>
      <c r="AG562" s="129" t="s">
        <v>173</v>
      </c>
      <c r="AI562" s="45" t="s">
        <v>558</v>
      </c>
      <c r="AJ562" s="63"/>
      <c r="AK562" s="1570"/>
    </row>
    <row r="563" spans="2:48" ht="15.75" thickBot="1">
      <c r="C563" s="1" t="s">
        <v>552</v>
      </c>
      <c r="N563" s="134"/>
      <c r="Q563" s="1570"/>
      <c r="S563" s="1570"/>
      <c r="U563" s="1570"/>
      <c r="W563" s="1570"/>
      <c r="Y563" s="1570"/>
      <c r="AC563" s="62"/>
      <c r="AE563" s="62"/>
      <c r="AF563" s="1570"/>
      <c r="AG563" s="786"/>
      <c r="AH563" s="1570"/>
      <c r="AI563" s="62"/>
      <c r="AJ563" s="282"/>
      <c r="AK563" s="1570"/>
    </row>
    <row r="564" spans="2:48" ht="16.5" thickBot="1">
      <c r="C564" s="1" t="s">
        <v>553</v>
      </c>
      <c r="O564" s="1936" t="s">
        <v>920</v>
      </c>
      <c r="P564" s="516" t="s">
        <v>513</v>
      </c>
      <c r="Q564" s="38"/>
      <c r="R564" s="38"/>
      <c r="S564" s="38"/>
      <c r="T564" s="38"/>
      <c r="U564" s="1937" t="s">
        <v>173</v>
      </c>
      <c r="V564" s="38"/>
      <c r="W564" s="1938" t="s">
        <v>558</v>
      </c>
      <c r="X564" s="1939"/>
      <c r="Y564" s="1582"/>
      <c r="AB564" s="62"/>
      <c r="AD564" s="62"/>
      <c r="AE564" s="1570"/>
      <c r="AF564" s="786"/>
      <c r="AG564" s="1570"/>
      <c r="AH564" s="62"/>
      <c r="AI564" s="282"/>
      <c r="AJ564" s="62"/>
      <c r="AK564" s="1570"/>
      <c r="AM564" s="37"/>
      <c r="AN564" s="312" t="s">
        <v>893</v>
      </c>
      <c r="AO564" s="38"/>
      <c r="AP564" s="68"/>
      <c r="AQ564" s="38"/>
      <c r="AR564" s="50"/>
    </row>
    <row r="565" spans="2:48" ht="15.75" thickBot="1">
      <c r="C565" s="1" t="s">
        <v>553</v>
      </c>
      <c r="E565" t="s">
        <v>554</v>
      </c>
      <c r="K565" s="517"/>
      <c r="O565" s="1612" t="s">
        <v>508</v>
      </c>
      <c r="P565" s="1676" t="s">
        <v>886</v>
      </c>
      <c r="Q565" s="1602"/>
      <c r="R565" s="1676" t="s">
        <v>885</v>
      </c>
      <c r="S565" s="1602"/>
      <c r="T565" s="1676" t="s">
        <v>887</v>
      </c>
      <c r="U565" s="1602"/>
      <c r="V565" s="1676" t="s">
        <v>889</v>
      </c>
      <c r="W565" s="1602"/>
      <c r="X565" s="1977" t="s">
        <v>891</v>
      </c>
      <c r="Y565" s="1978"/>
      <c r="AA565" s="1612" t="s">
        <v>508</v>
      </c>
      <c r="AB565" s="1676" t="s">
        <v>886</v>
      </c>
      <c r="AC565" s="1602"/>
      <c r="AD565" s="1676" t="s">
        <v>885</v>
      </c>
      <c r="AE565" s="1602"/>
      <c r="AF565" s="1676" t="s">
        <v>887</v>
      </c>
      <c r="AG565" s="1602"/>
      <c r="AH565" s="1676" t="s">
        <v>888</v>
      </c>
      <c r="AI565" s="1602"/>
      <c r="AJ565" s="1798" t="s">
        <v>890</v>
      </c>
      <c r="AK565" s="1602"/>
      <c r="AM565" s="1612" t="s">
        <v>508</v>
      </c>
      <c r="AN565" s="1862" t="s">
        <v>892</v>
      </c>
      <c r="AO565" s="1832"/>
      <c r="AP565" s="1612" t="s">
        <v>508</v>
      </c>
      <c r="AQ565" s="2001" t="s">
        <v>892</v>
      </c>
      <c r="AR565" s="1841"/>
    </row>
    <row r="566" spans="2:48" ht="15.75" thickBot="1">
      <c r="C566" s="1" t="s">
        <v>555</v>
      </c>
      <c r="E566" t="s">
        <v>556</v>
      </c>
      <c r="O566" s="871"/>
      <c r="P566" s="1621" t="s">
        <v>119</v>
      </c>
      <c r="Q566" s="1622" t="s">
        <v>120</v>
      </c>
      <c r="R566" s="1621" t="s">
        <v>119</v>
      </c>
      <c r="S566" s="1622" t="s">
        <v>120</v>
      </c>
      <c r="T566" s="1621" t="s">
        <v>119</v>
      </c>
      <c r="U566" s="1622" t="s">
        <v>120</v>
      </c>
      <c r="V566" s="1621" t="s">
        <v>119</v>
      </c>
      <c r="W566" s="1622" t="s">
        <v>120</v>
      </c>
      <c r="X566" s="1804" t="s">
        <v>119</v>
      </c>
      <c r="Y566" s="1822" t="s">
        <v>120</v>
      </c>
      <c r="AA566" s="2003" t="s">
        <v>67</v>
      </c>
      <c r="AB566" s="1621" t="s">
        <v>119</v>
      </c>
      <c r="AC566" s="1664" t="s">
        <v>120</v>
      </c>
      <c r="AD566" s="1637" t="s">
        <v>119</v>
      </c>
      <c r="AE566" s="1638" t="s">
        <v>120</v>
      </c>
      <c r="AF566" s="1637" t="s">
        <v>119</v>
      </c>
      <c r="AG566" s="1638" t="s">
        <v>120</v>
      </c>
      <c r="AH566" s="1621" t="s">
        <v>119</v>
      </c>
      <c r="AI566" s="1622" t="s">
        <v>120</v>
      </c>
      <c r="AJ566" s="1799" t="s">
        <v>119</v>
      </c>
      <c r="AK566" s="1622" t="s">
        <v>120</v>
      </c>
      <c r="AM566" s="871"/>
      <c r="AN566" s="1863" t="s">
        <v>119</v>
      </c>
      <c r="AO566" s="1833" t="s">
        <v>120</v>
      </c>
      <c r="AP566" s="2143" t="s">
        <v>67</v>
      </c>
      <c r="AQ566" s="2002" t="s">
        <v>119</v>
      </c>
      <c r="AR566" s="2144" t="s">
        <v>120</v>
      </c>
    </row>
    <row r="567" spans="2:48">
      <c r="C567" s="1" t="s">
        <v>555</v>
      </c>
      <c r="E567" t="s">
        <v>557</v>
      </c>
      <c r="O567" s="1992" t="s">
        <v>165</v>
      </c>
      <c r="P567" s="1731">
        <f>D579</f>
        <v>40</v>
      </c>
      <c r="Q567" s="2018">
        <f>D579</f>
        <v>40</v>
      </c>
      <c r="R567" s="1731">
        <f>D592</f>
        <v>40</v>
      </c>
      <c r="S567" s="2018">
        <f>D592</f>
        <v>40</v>
      </c>
      <c r="T567" s="1731">
        <f>D604</f>
        <v>20</v>
      </c>
      <c r="U567" s="2018">
        <f>D604</f>
        <v>20</v>
      </c>
      <c r="V567" s="1731">
        <f>P567+R567</f>
        <v>80</v>
      </c>
      <c r="W567" s="2019">
        <f>Q567+S567</f>
        <v>80</v>
      </c>
      <c r="X567" s="1731">
        <f>R567+T567</f>
        <v>60</v>
      </c>
      <c r="Y567" s="1583">
        <f>S567+U567</f>
        <v>60</v>
      </c>
      <c r="AA567" s="178" t="s">
        <v>159</v>
      </c>
      <c r="AB567" s="2035"/>
      <c r="AC567" s="840"/>
      <c r="AD567" s="1792"/>
      <c r="AE567" s="1598"/>
      <c r="AF567" s="1792"/>
      <c r="AG567" s="1681"/>
      <c r="AH567" s="1792">
        <f>AB567+AD567</f>
        <v>0</v>
      </c>
      <c r="AI567" s="1586">
        <f>AC567+AE567</f>
        <v>0</v>
      </c>
      <c r="AJ567" s="1792">
        <f>AD567+AF567</f>
        <v>0</v>
      </c>
      <c r="AK567" s="1583">
        <f>AE567+AG567</f>
        <v>0</v>
      </c>
      <c r="AM567" s="1992" t="s">
        <v>165</v>
      </c>
      <c r="AN567" s="1743">
        <f>P567+R567+T567</f>
        <v>100</v>
      </c>
      <c r="AO567" s="858">
        <f>Q567+S567+U567</f>
        <v>100</v>
      </c>
      <c r="AP567" s="2034" t="s">
        <v>159</v>
      </c>
      <c r="AQ567" s="2112">
        <f>AB567+AD567+AF567</f>
        <v>0</v>
      </c>
      <c r="AR567" s="856">
        <f>AC567+AE567+AG567</f>
        <v>0</v>
      </c>
    </row>
    <row r="568" spans="2:48">
      <c r="O568" s="1944" t="s">
        <v>164</v>
      </c>
      <c r="P568" s="1724">
        <f>D578</f>
        <v>70</v>
      </c>
      <c r="Q568" s="2020">
        <f>D578</f>
        <v>70</v>
      </c>
      <c r="R568" s="2059">
        <f>I586+D591</f>
        <v>90.5</v>
      </c>
      <c r="S568" s="2131">
        <f>J586+D591</f>
        <v>90.5</v>
      </c>
      <c r="T568" s="1724"/>
      <c r="U568" s="2020"/>
      <c r="V568" s="1724">
        <f>P568+R568</f>
        <v>160.5</v>
      </c>
      <c r="W568" s="1586">
        <f>Q568+S568</f>
        <v>160.5</v>
      </c>
      <c r="X568" s="1724">
        <f t="shared" ref="X568:X601" si="460">R568+T568</f>
        <v>90.5</v>
      </c>
      <c r="Y568" s="1585">
        <f t="shared" ref="Y568:Y597" si="461">S568+U568</f>
        <v>90.5</v>
      </c>
      <c r="AA568" s="178" t="s">
        <v>70</v>
      </c>
      <c r="AB568" s="444"/>
      <c r="AC568" s="841"/>
      <c r="AD568" s="1789"/>
      <c r="AE568" s="1598"/>
      <c r="AF568" s="1789"/>
      <c r="AG568" s="1681"/>
      <c r="AH568" s="1789">
        <f>AB568+AD568</f>
        <v>0</v>
      </c>
      <c r="AI568" s="1586">
        <f t="shared" ref="AI568:AJ581" si="462">AC568+AE568</f>
        <v>0</v>
      </c>
      <c r="AJ568" s="1789">
        <f>AD568+AF568</f>
        <v>0</v>
      </c>
      <c r="AK568" s="1585">
        <f t="shared" ref="AK568:AK581" si="463">AE568+AG568</f>
        <v>0</v>
      </c>
      <c r="AM568" s="1944" t="s">
        <v>164</v>
      </c>
      <c r="AN568" s="1743">
        <f t="shared" ref="AN568:AN580" si="464">P568+R568+T568</f>
        <v>160.5</v>
      </c>
      <c r="AO568" s="858">
        <f t="shared" ref="AO568:AO597" si="465">Q568+S568+U568</f>
        <v>160.5</v>
      </c>
      <c r="AP568" s="2039" t="s">
        <v>70</v>
      </c>
      <c r="AQ568" s="1801">
        <f t="shared" ref="AQ568:AQ583" si="466">AB568+AD568+AF568</f>
        <v>0</v>
      </c>
      <c r="AR568" s="856">
        <f t="shared" ref="AR568:AR582" si="467">AC568+AE568+AG568</f>
        <v>0</v>
      </c>
    </row>
    <row r="569" spans="2:48">
      <c r="B569" s="2" t="s">
        <v>513</v>
      </c>
      <c r="F569" s="129" t="s">
        <v>173</v>
      </c>
      <c r="I569" s="13" t="s">
        <v>558</v>
      </c>
      <c r="K569" s="346"/>
      <c r="O569" s="1993" t="s">
        <v>92</v>
      </c>
      <c r="P569" s="1762"/>
      <c r="Q569" s="1575"/>
      <c r="R569" s="1762">
        <f>I593</f>
        <v>1.5</v>
      </c>
      <c r="S569" s="1575">
        <f>J593</f>
        <v>1.5</v>
      </c>
      <c r="T569" s="2180">
        <f>I604</f>
        <v>4.95</v>
      </c>
      <c r="U569" s="2171">
        <f>J604</f>
        <v>4.95</v>
      </c>
      <c r="V569" s="1762">
        <f t="shared" ref="V569:V596" si="468">P569+R569</f>
        <v>1.5</v>
      </c>
      <c r="W569" s="1590">
        <f t="shared" ref="W569:W597" si="469">Q569+S569</f>
        <v>1.5</v>
      </c>
      <c r="X569" s="1762">
        <f t="shared" si="460"/>
        <v>6.45</v>
      </c>
      <c r="Y569" s="1814">
        <f t="shared" si="461"/>
        <v>6.45</v>
      </c>
      <c r="AA569" s="125" t="s">
        <v>72</v>
      </c>
      <c r="AB569" s="444"/>
      <c r="AC569" s="842"/>
      <c r="AD569" s="1789"/>
      <c r="AE569" s="1598"/>
      <c r="AF569" s="1789"/>
      <c r="AG569" s="1681"/>
      <c r="AH569" s="1789">
        <f>AB569+AD569</f>
        <v>0</v>
      </c>
      <c r="AI569" s="1586">
        <f t="shared" si="462"/>
        <v>0</v>
      </c>
      <c r="AJ569" s="1789">
        <f>AD569+AF569</f>
        <v>0</v>
      </c>
      <c r="AK569" s="1585">
        <f t="shared" si="463"/>
        <v>0</v>
      </c>
      <c r="AM569" s="1993" t="s">
        <v>92</v>
      </c>
      <c r="AN569" s="1743">
        <f t="shared" si="464"/>
        <v>6.45</v>
      </c>
      <c r="AO569" s="858">
        <f t="shared" si="465"/>
        <v>6.45</v>
      </c>
      <c r="AP569" s="2100" t="s">
        <v>72</v>
      </c>
      <c r="AQ569" s="1801">
        <f t="shared" si="466"/>
        <v>0</v>
      </c>
      <c r="AR569" s="856">
        <f t="shared" si="467"/>
        <v>0</v>
      </c>
    </row>
    <row r="570" spans="2:48" ht="15.75" thickBot="1">
      <c r="B570" s="171"/>
      <c r="C570" s="171"/>
      <c r="G570" s="2"/>
      <c r="H570" s="2"/>
      <c r="I570" s="2"/>
      <c r="J570" s="143"/>
      <c r="L570" s="2"/>
      <c r="O570" s="1996" t="s">
        <v>900</v>
      </c>
      <c r="P570" s="1725">
        <f t="shared" ref="P570:U570" si="470">AB605</f>
        <v>0</v>
      </c>
      <c r="Q570" s="1595">
        <f t="shared" si="470"/>
        <v>0</v>
      </c>
      <c r="R570" s="1725">
        <f t="shared" si="470"/>
        <v>43.5</v>
      </c>
      <c r="S570" s="1595">
        <f t="shared" si="470"/>
        <v>43.5</v>
      </c>
      <c r="T570" s="1725">
        <f t="shared" si="470"/>
        <v>13.59</v>
      </c>
      <c r="U570" s="1595">
        <f t="shared" si="470"/>
        <v>13.59</v>
      </c>
      <c r="V570" s="1725">
        <f>P570+R570</f>
        <v>43.5</v>
      </c>
      <c r="W570" s="1594">
        <f t="shared" si="469"/>
        <v>43.5</v>
      </c>
      <c r="X570" s="1725">
        <f t="shared" si="460"/>
        <v>57.09</v>
      </c>
      <c r="Y570" s="1820">
        <f t="shared" si="461"/>
        <v>57.09</v>
      </c>
      <c r="AA570" s="125" t="s">
        <v>74</v>
      </c>
      <c r="AB570" s="1789"/>
      <c r="AC570" s="843"/>
      <c r="AD570" s="1789"/>
      <c r="AE570" s="1598"/>
      <c r="AF570" s="1789"/>
      <c r="AG570" s="1681"/>
      <c r="AH570" s="1789">
        <f t="shared" ref="AH570:AH581" si="471">AB570+AD570</f>
        <v>0</v>
      </c>
      <c r="AI570" s="1586">
        <f t="shared" si="462"/>
        <v>0</v>
      </c>
      <c r="AJ570" s="1789">
        <f t="shared" si="462"/>
        <v>0</v>
      </c>
      <c r="AK570" s="1585">
        <f t="shared" si="463"/>
        <v>0</v>
      </c>
      <c r="AM570" s="1996" t="s">
        <v>900</v>
      </c>
      <c r="AN570" s="2076">
        <f>P570+R570+T570</f>
        <v>57.09</v>
      </c>
      <c r="AO570" s="858">
        <f t="shared" si="465"/>
        <v>57.09</v>
      </c>
      <c r="AP570" s="2100" t="s">
        <v>74</v>
      </c>
      <c r="AQ570" s="1801">
        <f t="shared" si="466"/>
        <v>0</v>
      </c>
      <c r="AR570" s="856">
        <f t="shared" si="467"/>
        <v>0</v>
      </c>
      <c r="AT570" s="2"/>
    </row>
    <row r="571" spans="2:48">
      <c r="B571" s="25" t="s">
        <v>565</v>
      </c>
      <c r="C571" s="83" t="s">
        <v>3</v>
      </c>
      <c r="D571" s="84" t="s">
        <v>4</v>
      </c>
      <c r="E571" s="88" t="s">
        <v>69</v>
      </c>
      <c r="F571" s="68"/>
      <c r="G571" s="68"/>
      <c r="H571" s="68"/>
      <c r="I571" s="68"/>
      <c r="J571" s="68"/>
      <c r="K571" s="68"/>
      <c r="L571" s="68"/>
      <c r="M571" s="54"/>
      <c r="O571" s="1944" t="s">
        <v>123</v>
      </c>
      <c r="P571" s="1724"/>
      <c r="Q571" s="1569"/>
      <c r="R571" s="1724"/>
      <c r="S571" s="1569"/>
      <c r="T571" s="1724"/>
      <c r="U571" s="1569"/>
      <c r="V571" s="1724">
        <f t="shared" si="468"/>
        <v>0</v>
      </c>
      <c r="W571" s="1586">
        <f t="shared" si="469"/>
        <v>0</v>
      </c>
      <c r="X571" s="1724">
        <f t="shared" si="460"/>
        <v>0</v>
      </c>
      <c r="Y571" s="1585">
        <f t="shared" si="461"/>
        <v>0</v>
      </c>
      <c r="AA571" s="126" t="s">
        <v>112</v>
      </c>
      <c r="AB571" s="1789">
        <f>F578</f>
        <v>6.96</v>
      </c>
      <c r="AC571" s="1957">
        <f>G578</f>
        <v>6.96</v>
      </c>
      <c r="AD571" s="1969">
        <f>F590</f>
        <v>2.5</v>
      </c>
      <c r="AE571" s="1598">
        <f>G590</f>
        <v>2.5</v>
      </c>
      <c r="AF571" s="1789"/>
      <c r="AG571" s="1681"/>
      <c r="AH571" s="1789">
        <f t="shared" si="471"/>
        <v>9.4600000000000009</v>
      </c>
      <c r="AI571" s="1586">
        <f t="shared" si="462"/>
        <v>9.4600000000000009</v>
      </c>
      <c r="AJ571" s="1789">
        <f t="shared" si="462"/>
        <v>2.5</v>
      </c>
      <c r="AK571" s="1585">
        <f t="shared" si="463"/>
        <v>2.5</v>
      </c>
      <c r="AM571" s="1944" t="s">
        <v>123</v>
      </c>
      <c r="AN571" s="1743">
        <f t="shared" si="464"/>
        <v>0</v>
      </c>
      <c r="AO571" s="858">
        <f t="shared" si="465"/>
        <v>0</v>
      </c>
      <c r="AP571" s="2039" t="s">
        <v>112</v>
      </c>
      <c r="AQ571" s="1801">
        <f t="shared" si="466"/>
        <v>9.4600000000000009</v>
      </c>
      <c r="AR571" s="856">
        <f t="shared" si="467"/>
        <v>9.4600000000000009</v>
      </c>
      <c r="AT571" s="855"/>
      <c r="AU571" s="94"/>
    </row>
    <row r="572" spans="2:48" ht="15.75" thickBot="1">
      <c r="B572" s="287" t="s">
        <v>566</v>
      </c>
      <c r="C572"/>
      <c r="D572" s="288" t="s">
        <v>71</v>
      </c>
      <c r="E572" s="57"/>
      <c r="F572" s="29"/>
      <c r="G572" s="29"/>
      <c r="H572" s="29"/>
      <c r="I572" s="29"/>
      <c r="J572" s="29"/>
      <c r="K572" s="29"/>
      <c r="L572" s="29"/>
      <c r="M572" s="74"/>
      <c r="O572" s="560" t="s">
        <v>52</v>
      </c>
      <c r="P572" s="1966">
        <f>F576</f>
        <v>154.66999999999999</v>
      </c>
      <c r="Q572" s="1586">
        <f>G576</f>
        <v>116</v>
      </c>
      <c r="R572" s="1724">
        <f>F587</f>
        <v>40</v>
      </c>
      <c r="S572" s="1600">
        <f>G587</f>
        <v>30</v>
      </c>
      <c r="T572" s="1966">
        <f>F602</f>
        <v>10.6</v>
      </c>
      <c r="U572" s="1586">
        <f>G602</f>
        <v>8.08</v>
      </c>
      <c r="V572" s="1724">
        <f t="shared" si="468"/>
        <v>194.67</v>
      </c>
      <c r="W572" s="1586">
        <f t="shared" si="469"/>
        <v>146</v>
      </c>
      <c r="X572" s="1724">
        <f t="shared" si="460"/>
        <v>50.6</v>
      </c>
      <c r="Y572" s="1585">
        <f t="shared" si="461"/>
        <v>38.08</v>
      </c>
      <c r="AA572" s="125" t="s">
        <v>161</v>
      </c>
      <c r="AB572" s="1789"/>
      <c r="AC572" s="1957"/>
      <c r="AD572" s="1789"/>
      <c r="AE572" s="1598"/>
      <c r="AF572" s="1789"/>
      <c r="AG572" s="1681"/>
      <c r="AH572" s="1789">
        <f t="shared" si="471"/>
        <v>0</v>
      </c>
      <c r="AI572" s="1586">
        <f t="shared" si="462"/>
        <v>0</v>
      </c>
      <c r="AJ572" s="1789">
        <f t="shared" si="462"/>
        <v>0</v>
      </c>
      <c r="AK572" s="1585">
        <f t="shared" si="463"/>
        <v>0</v>
      </c>
      <c r="AM572" s="495" t="s">
        <v>52</v>
      </c>
      <c r="AN572" s="1743">
        <f t="shared" si="464"/>
        <v>205.26999999999998</v>
      </c>
      <c r="AO572" s="858">
        <f t="shared" si="465"/>
        <v>154.08000000000001</v>
      </c>
      <c r="AP572" s="2100" t="s">
        <v>161</v>
      </c>
      <c r="AQ572" s="1801">
        <f t="shared" si="466"/>
        <v>0</v>
      </c>
      <c r="AR572" s="856">
        <f t="shared" si="467"/>
        <v>0</v>
      </c>
    </row>
    <row r="573" spans="2:48" ht="16.5" thickBot="1">
      <c r="B573" s="876" t="s">
        <v>562</v>
      </c>
      <c r="C573" s="68"/>
      <c r="D573" s="462"/>
      <c r="E573" s="321" t="s">
        <v>430</v>
      </c>
      <c r="F573" s="312"/>
      <c r="G573" s="312"/>
      <c r="H573" s="312"/>
      <c r="I573" s="38"/>
      <c r="J573" s="38"/>
      <c r="K573" s="1168" t="s">
        <v>593</v>
      </c>
      <c r="L573" s="38"/>
      <c r="M573" s="50"/>
      <c r="O573" s="2016" t="s">
        <v>912</v>
      </c>
      <c r="P573" s="2050">
        <f t="shared" ref="P573:U573" si="472">AB582</f>
        <v>88.697999999999993</v>
      </c>
      <c r="Q573" s="1598">
        <f t="shared" si="472"/>
        <v>78.575000000000003</v>
      </c>
      <c r="R573" s="2086">
        <f t="shared" si="472"/>
        <v>159.18</v>
      </c>
      <c r="S573" s="1598">
        <f t="shared" si="472"/>
        <v>134</v>
      </c>
      <c r="T573" s="1726">
        <f t="shared" si="472"/>
        <v>178.77</v>
      </c>
      <c r="U573" s="1598">
        <f t="shared" si="472"/>
        <v>142.75299999999999</v>
      </c>
      <c r="V573" s="2050">
        <f>P573+R573</f>
        <v>247.87799999999999</v>
      </c>
      <c r="W573" s="1597">
        <f t="shared" si="469"/>
        <v>212.57499999999999</v>
      </c>
      <c r="X573" s="2086">
        <f>R573+T573</f>
        <v>337.95000000000005</v>
      </c>
      <c r="Y573" s="1604">
        <f t="shared" si="461"/>
        <v>276.75299999999999</v>
      </c>
      <c r="AA573" s="125" t="s">
        <v>155</v>
      </c>
      <c r="AB573" s="2083"/>
      <c r="AC573" s="1957"/>
      <c r="AD573" s="2083">
        <f>F586</f>
        <v>64.38</v>
      </c>
      <c r="AE573" s="1598">
        <f>G586</f>
        <v>51.5</v>
      </c>
      <c r="AF573" s="1789">
        <f>F603</f>
        <v>178.77</v>
      </c>
      <c r="AG573" s="1681">
        <f>G603</f>
        <v>142.75299999999999</v>
      </c>
      <c r="AH573" s="1789">
        <f t="shared" si="471"/>
        <v>64.38</v>
      </c>
      <c r="AI573" s="1586">
        <f t="shared" si="462"/>
        <v>51.5</v>
      </c>
      <c r="AJ573" s="1789">
        <f t="shared" si="462"/>
        <v>243.15</v>
      </c>
      <c r="AK573" s="1585">
        <f t="shared" si="463"/>
        <v>194.25299999999999</v>
      </c>
      <c r="AM573" s="2016" t="s">
        <v>96</v>
      </c>
      <c r="AN573" s="2087">
        <f>P573+R573+T573</f>
        <v>426.64800000000002</v>
      </c>
      <c r="AO573" s="858">
        <f t="shared" si="465"/>
        <v>355.32799999999997</v>
      </c>
      <c r="AP573" s="2100" t="s">
        <v>155</v>
      </c>
      <c r="AQ573" s="1801">
        <f t="shared" si="466"/>
        <v>243.15</v>
      </c>
      <c r="AR573" s="856">
        <f t="shared" si="467"/>
        <v>194.25299999999999</v>
      </c>
    </row>
    <row r="574" spans="2:48" ht="15.75" thickBot="1">
      <c r="B574" s="88"/>
      <c r="C574" s="162" t="s">
        <v>199</v>
      </c>
      <c r="D574" s="54"/>
      <c r="E574" s="319" t="s">
        <v>118</v>
      </c>
      <c r="F574" s="103" t="s">
        <v>119</v>
      </c>
      <c r="G574" s="318" t="s">
        <v>120</v>
      </c>
      <c r="H574" s="414" t="s">
        <v>118</v>
      </c>
      <c r="I574" s="252" t="s">
        <v>119</v>
      </c>
      <c r="J574" s="335" t="s">
        <v>120</v>
      </c>
      <c r="K574" s="263" t="s">
        <v>118</v>
      </c>
      <c r="L574" s="97" t="s">
        <v>119</v>
      </c>
      <c r="M574" s="135" t="s">
        <v>120</v>
      </c>
      <c r="O574" s="1943" t="s">
        <v>901</v>
      </c>
      <c r="P574" s="1727">
        <f t="shared" ref="P574:U574" si="473">AB589</f>
        <v>7.5</v>
      </c>
      <c r="Q574" s="1586">
        <f t="shared" si="473"/>
        <v>7</v>
      </c>
      <c r="R574" s="1727">
        <f t="shared" si="473"/>
        <v>124.85</v>
      </c>
      <c r="S574" s="1569">
        <f t="shared" si="473"/>
        <v>110</v>
      </c>
      <c r="T574" s="1727">
        <f t="shared" si="473"/>
        <v>33.75</v>
      </c>
      <c r="U574" s="1569">
        <f t="shared" si="473"/>
        <v>30.5</v>
      </c>
      <c r="V574" s="1727">
        <f>P574+R574</f>
        <v>132.35</v>
      </c>
      <c r="W574" s="1586">
        <f t="shared" si="469"/>
        <v>117</v>
      </c>
      <c r="X574" s="1727">
        <f>R574+T574</f>
        <v>158.6</v>
      </c>
      <c r="Y574" s="1585">
        <f t="shared" si="461"/>
        <v>140.5</v>
      </c>
      <c r="AA574" s="125" t="s">
        <v>158</v>
      </c>
      <c r="AB574" s="1789"/>
      <c r="AC574" s="1959"/>
      <c r="AD574" s="1789"/>
      <c r="AE574" s="1598"/>
      <c r="AF574" s="1789"/>
      <c r="AG574" s="1681"/>
      <c r="AH574" s="1789">
        <f t="shared" si="471"/>
        <v>0</v>
      </c>
      <c r="AI574" s="1586">
        <f t="shared" si="462"/>
        <v>0</v>
      </c>
      <c r="AJ574" s="1789">
        <f t="shared" si="462"/>
        <v>0</v>
      </c>
      <c r="AK574" s="1585">
        <f t="shared" si="463"/>
        <v>0</v>
      </c>
      <c r="AM574" s="1943" t="s">
        <v>901</v>
      </c>
      <c r="AN574" s="1743">
        <f t="shared" si="464"/>
        <v>166.1</v>
      </c>
      <c r="AO574" s="858">
        <f t="shared" si="465"/>
        <v>147.5</v>
      </c>
      <c r="AP574" s="2100" t="s">
        <v>158</v>
      </c>
      <c r="AQ574" s="1801">
        <f t="shared" si="466"/>
        <v>0</v>
      </c>
      <c r="AR574" s="856">
        <f t="shared" si="467"/>
        <v>0</v>
      </c>
    </row>
    <row r="575" spans="2:48">
      <c r="B575" s="1184" t="s">
        <v>625</v>
      </c>
      <c r="C575" s="241" t="s">
        <v>417</v>
      </c>
      <c r="D575" s="166">
        <v>60</v>
      </c>
      <c r="E575" s="100" t="s">
        <v>188</v>
      </c>
      <c r="F575" s="231">
        <v>112.27</v>
      </c>
      <c r="G575" s="735">
        <v>86.1</v>
      </c>
      <c r="H575" s="216" t="s">
        <v>95</v>
      </c>
      <c r="I575" s="123">
        <v>6.6</v>
      </c>
      <c r="J575" s="131">
        <v>6.6</v>
      </c>
      <c r="K575" s="480" t="s">
        <v>107</v>
      </c>
      <c r="L575" s="326">
        <v>1</v>
      </c>
      <c r="M575" s="421">
        <v>1</v>
      </c>
      <c r="O575" s="1947" t="s">
        <v>122</v>
      </c>
      <c r="P575" s="1727"/>
      <c r="Q575" s="1569"/>
      <c r="R575" s="1727"/>
      <c r="S575" s="1569"/>
      <c r="T575" s="1727"/>
      <c r="U575" s="1569"/>
      <c r="V575" s="1724">
        <f t="shared" si="468"/>
        <v>0</v>
      </c>
      <c r="W575" s="1586">
        <f t="shared" si="469"/>
        <v>0</v>
      </c>
      <c r="X575" s="1727">
        <f>R575+T575</f>
        <v>0</v>
      </c>
      <c r="Y575" s="1585">
        <f t="shared" si="461"/>
        <v>0</v>
      </c>
      <c r="AA575" s="125" t="s">
        <v>101</v>
      </c>
      <c r="AB575" s="1789">
        <f>F577</f>
        <v>13.938000000000001</v>
      </c>
      <c r="AC575" s="1959">
        <f>G577</f>
        <v>11.615</v>
      </c>
      <c r="AD575" s="1969">
        <f>F589</f>
        <v>12</v>
      </c>
      <c r="AE575" s="1673">
        <f>G589</f>
        <v>10</v>
      </c>
      <c r="AF575" s="1789"/>
      <c r="AG575" s="1681"/>
      <c r="AH575" s="1789">
        <f t="shared" si="471"/>
        <v>25.938000000000002</v>
      </c>
      <c r="AI575" s="1586">
        <f t="shared" si="462"/>
        <v>21.615000000000002</v>
      </c>
      <c r="AJ575" s="1789">
        <f t="shared" si="462"/>
        <v>12</v>
      </c>
      <c r="AK575" s="1585">
        <f t="shared" si="463"/>
        <v>10</v>
      </c>
      <c r="AM575" s="1947" t="s">
        <v>122</v>
      </c>
      <c r="AN575" s="1743">
        <f t="shared" si="464"/>
        <v>0</v>
      </c>
      <c r="AO575" s="858">
        <f t="shared" si="465"/>
        <v>0</v>
      </c>
      <c r="AP575" s="2100" t="s">
        <v>101</v>
      </c>
      <c r="AQ575" s="1801">
        <f t="shared" si="466"/>
        <v>25.938000000000002</v>
      </c>
      <c r="AR575" s="856">
        <f t="shared" si="467"/>
        <v>21.615000000000002</v>
      </c>
      <c r="AV575" s="855"/>
    </row>
    <row r="576" spans="2:48">
      <c r="B576" s="246" t="s">
        <v>186</v>
      </c>
      <c r="C576" s="241" t="s">
        <v>187</v>
      </c>
      <c r="D576" s="239" t="s">
        <v>519</v>
      </c>
      <c r="E576" s="185" t="s">
        <v>52</v>
      </c>
      <c r="F576" s="2158">
        <v>154.66999999999999</v>
      </c>
      <c r="G576" s="1134">
        <v>116</v>
      </c>
      <c r="H576" s="1219" t="s">
        <v>103</v>
      </c>
      <c r="I576" s="276">
        <v>2.4</v>
      </c>
      <c r="J576" s="236">
        <v>2.4</v>
      </c>
      <c r="K576" s="186" t="s">
        <v>94</v>
      </c>
      <c r="L576" s="877">
        <v>66</v>
      </c>
      <c r="M576" s="236"/>
      <c r="O576" s="1993" t="s">
        <v>313</v>
      </c>
      <c r="P576" s="1724"/>
      <c r="Q576" s="1569"/>
      <c r="R576" s="1724"/>
      <c r="S576" s="1569"/>
      <c r="T576" s="1724"/>
      <c r="U576" s="1569"/>
      <c r="V576" s="1724">
        <f t="shared" si="468"/>
        <v>0</v>
      </c>
      <c r="W576" s="1586">
        <f t="shared" si="469"/>
        <v>0</v>
      </c>
      <c r="X576" s="1724">
        <f t="shared" si="460"/>
        <v>0</v>
      </c>
      <c r="Y576" s="1585">
        <f t="shared" si="461"/>
        <v>0</v>
      </c>
      <c r="AA576" s="125" t="s">
        <v>79</v>
      </c>
      <c r="AB576" s="1789"/>
      <c r="AC576" s="1957"/>
      <c r="AD576" s="1969">
        <f>F588</f>
        <v>12.5</v>
      </c>
      <c r="AE576" s="1598">
        <f>G588</f>
        <v>10</v>
      </c>
      <c r="AF576" s="1789"/>
      <c r="AG576" s="1681"/>
      <c r="AH576" s="1789">
        <f t="shared" si="471"/>
        <v>12.5</v>
      </c>
      <c r="AI576" s="1586">
        <f t="shared" si="462"/>
        <v>10</v>
      </c>
      <c r="AJ576" s="1789">
        <f t="shared" si="462"/>
        <v>12.5</v>
      </c>
      <c r="AK576" s="1585">
        <f t="shared" si="463"/>
        <v>10</v>
      </c>
      <c r="AM576" s="1993" t="s">
        <v>163</v>
      </c>
      <c r="AN576" s="1743">
        <f t="shared" si="464"/>
        <v>0</v>
      </c>
      <c r="AO576" s="858">
        <f t="shared" si="465"/>
        <v>0</v>
      </c>
      <c r="AP576" s="2100" t="s">
        <v>79</v>
      </c>
      <c r="AQ576" s="1801">
        <f t="shared" si="466"/>
        <v>12.5</v>
      </c>
      <c r="AR576" s="856">
        <f t="shared" si="467"/>
        <v>10</v>
      </c>
    </row>
    <row r="577" spans="2:44">
      <c r="B577" s="246" t="s">
        <v>653</v>
      </c>
      <c r="C577" s="241" t="s">
        <v>593</v>
      </c>
      <c r="D577" s="285">
        <v>200</v>
      </c>
      <c r="E577" s="185" t="s">
        <v>221</v>
      </c>
      <c r="F577" s="254">
        <v>13.938000000000001</v>
      </c>
      <c r="G577" s="975">
        <v>11.615</v>
      </c>
      <c r="H577" s="241" t="s">
        <v>227</v>
      </c>
      <c r="I577" s="1075">
        <v>5.9800000000000001E-3</v>
      </c>
      <c r="J577" s="1076">
        <v>5.9800000000000001E-3</v>
      </c>
      <c r="K577" s="301" t="s">
        <v>57</v>
      </c>
      <c r="L577" s="233">
        <v>7</v>
      </c>
      <c r="M577" s="255">
        <v>7</v>
      </c>
      <c r="O577" s="560" t="s">
        <v>895</v>
      </c>
      <c r="P577" s="1724">
        <f t="shared" ref="P577:U577" si="474">AB592</f>
        <v>112.27</v>
      </c>
      <c r="Q577" s="1569">
        <f t="shared" si="474"/>
        <v>86.1</v>
      </c>
      <c r="R577" s="1724">
        <f t="shared" si="474"/>
        <v>2.9449999999999998</v>
      </c>
      <c r="S577" s="1569">
        <f t="shared" si="474"/>
        <v>2.5</v>
      </c>
      <c r="T577" s="1724">
        <f t="shared" si="474"/>
        <v>0</v>
      </c>
      <c r="U577" s="1569">
        <f t="shared" si="474"/>
        <v>0</v>
      </c>
      <c r="V577" s="1724">
        <f t="shared" si="468"/>
        <v>115.21499999999999</v>
      </c>
      <c r="W577" s="1586">
        <f t="shared" si="469"/>
        <v>88.6</v>
      </c>
      <c r="X577" s="1724">
        <f t="shared" si="460"/>
        <v>2.9449999999999998</v>
      </c>
      <c r="Y577" s="1585">
        <f t="shared" si="461"/>
        <v>2.5</v>
      </c>
      <c r="AA577" s="125" t="s">
        <v>86</v>
      </c>
      <c r="AB577" s="1789"/>
      <c r="AC577" s="1960"/>
      <c r="AD577" s="1789"/>
      <c r="AE577" s="1598"/>
      <c r="AF577" s="1789"/>
      <c r="AG577" s="1681"/>
      <c r="AH577" s="1789">
        <f t="shared" si="471"/>
        <v>0</v>
      </c>
      <c r="AI577" s="1586">
        <f t="shared" si="462"/>
        <v>0</v>
      </c>
      <c r="AJ577" s="1789">
        <f t="shared" si="462"/>
        <v>0</v>
      </c>
      <c r="AK577" s="1585">
        <f t="shared" si="463"/>
        <v>0</v>
      </c>
      <c r="AM577" s="560" t="s">
        <v>895</v>
      </c>
      <c r="AN577" s="1743">
        <f t="shared" si="464"/>
        <v>115.21499999999999</v>
      </c>
      <c r="AO577" s="858">
        <f t="shared" si="465"/>
        <v>88.6</v>
      </c>
      <c r="AP577" s="2100" t="s">
        <v>86</v>
      </c>
      <c r="AQ577" s="1801">
        <f t="shared" si="466"/>
        <v>0</v>
      </c>
      <c r="AR577" s="856">
        <f t="shared" si="467"/>
        <v>0</v>
      </c>
    </row>
    <row r="578" spans="2:44" ht="15.75" thickBot="1">
      <c r="B578" s="246" t="s">
        <v>10</v>
      </c>
      <c r="C578" s="241" t="s">
        <v>11</v>
      </c>
      <c r="D578" s="285">
        <v>70</v>
      </c>
      <c r="E578" s="185" t="s">
        <v>112</v>
      </c>
      <c r="F578" s="254">
        <v>6.96</v>
      </c>
      <c r="G578" s="975">
        <v>6.96</v>
      </c>
      <c r="H578" s="1219" t="s">
        <v>61</v>
      </c>
      <c r="I578" s="302">
        <v>1.5</v>
      </c>
      <c r="J578" s="323">
        <v>1.5</v>
      </c>
      <c r="K578" s="186" t="s">
        <v>94</v>
      </c>
      <c r="L578" s="1051">
        <v>150</v>
      </c>
      <c r="M578" s="236"/>
      <c r="O578" s="1944" t="s">
        <v>894</v>
      </c>
      <c r="P578" s="1724">
        <f t="shared" ref="P578:U578" si="475">AB596</f>
        <v>0</v>
      </c>
      <c r="Q578" s="1586">
        <f t="shared" si="475"/>
        <v>0</v>
      </c>
      <c r="R578" s="1724">
        <f t="shared" si="475"/>
        <v>0</v>
      </c>
      <c r="S578" s="1586">
        <f t="shared" si="475"/>
        <v>0</v>
      </c>
      <c r="T578" s="1724">
        <f t="shared" si="475"/>
        <v>0</v>
      </c>
      <c r="U578" s="1586">
        <f t="shared" si="475"/>
        <v>0</v>
      </c>
      <c r="V578" s="1724">
        <f t="shared" si="468"/>
        <v>0</v>
      </c>
      <c r="W578" s="1586">
        <f t="shared" si="469"/>
        <v>0</v>
      </c>
      <c r="X578" s="1724">
        <f t="shared" si="460"/>
        <v>0</v>
      </c>
      <c r="Y578" s="1585">
        <f t="shared" si="461"/>
        <v>0</v>
      </c>
      <c r="AA578" s="125" t="s">
        <v>160</v>
      </c>
      <c r="AB578" s="1789"/>
      <c r="AC578" s="1961"/>
      <c r="AD578" s="1789">
        <f>F599</f>
        <v>67.8</v>
      </c>
      <c r="AE578" s="1598">
        <f>G599</f>
        <v>60</v>
      </c>
      <c r="AF578" s="1789"/>
      <c r="AG578" s="1681"/>
      <c r="AH578" s="1789">
        <f t="shared" si="471"/>
        <v>67.8</v>
      </c>
      <c r="AI578" s="1586">
        <f t="shared" si="462"/>
        <v>60</v>
      </c>
      <c r="AJ578" s="1789">
        <f t="shared" si="462"/>
        <v>67.8</v>
      </c>
      <c r="AK578" s="1585">
        <f t="shared" si="463"/>
        <v>60</v>
      </c>
      <c r="AM578" s="1944" t="s">
        <v>894</v>
      </c>
      <c r="AN578" s="1743">
        <f t="shared" si="464"/>
        <v>0</v>
      </c>
      <c r="AO578" s="858">
        <f t="shared" si="465"/>
        <v>0</v>
      </c>
      <c r="AP578" s="2100" t="s">
        <v>160</v>
      </c>
      <c r="AQ578" s="1801">
        <f t="shared" si="466"/>
        <v>67.8</v>
      </c>
      <c r="AR578" s="856">
        <f t="shared" si="467"/>
        <v>60</v>
      </c>
    </row>
    <row r="579" spans="2:44" ht="15.75" thickBot="1">
      <c r="B579" s="246" t="s">
        <v>10</v>
      </c>
      <c r="C579" s="241" t="s">
        <v>792</v>
      </c>
      <c r="D579" s="239">
        <v>40</v>
      </c>
      <c r="E579" s="420" t="s">
        <v>417</v>
      </c>
      <c r="F579" s="278"/>
      <c r="G579" s="50"/>
      <c r="H579" s="504" t="s">
        <v>634</v>
      </c>
      <c r="I579" s="276"/>
      <c r="J579" s="236">
        <v>1.43</v>
      </c>
      <c r="K579" s="186" t="s">
        <v>594</v>
      </c>
      <c r="L579" s="250">
        <v>7.5</v>
      </c>
      <c r="M579" s="236">
        <v>7</v>
      </c>
      <c r="O579" s="1944" t="s">
        <v>150</v>
      </c>
      <c r="P579" s="1724"/>
      <c r="Q579" s="1586"/>
      <c r="R579" s="1724">
        <f>I585</f>
        <v>121</v>
      </c>
      <c r="S579" s="1569">
        <f>J585</f>
        <v>83.22</v>
      </c>
      <c r="T579" s="1727"/>
      <c r="U579" s="1569"/>
      <c r="V579" s="1724">
        <f t="shared" si="468"/>
        <v>121</v>
      </c>
      <c r="W579" s="1586">
        <f t="shared" si="469"/>
        <v>83.22</v>
      </c>
      <c r="X579" s="1724">
        <f t="shared" si="460"/>
        <v>121</v>
      </c>
      <c r="Y579" s="1585">
        <f t="shared" si="461"/>
        <v>83.22</v>
      </c>
      <c r="AA579" s="125" t="s">
        <v>157</v>
      </c>
      <c r="AB579" s="2159">
        <f>F581</f>
        <v>67.8</v>
      </c>
      <c r="AC579" s="1961">
        <f>G581</f>
        <v>60</v>
      </c>
      <c r="AD579" s="1969"/>
      <c r="AE579" s="1598"/>
      <c r="AF579" s="1789"/>
      <c r="AG579" s="1681"/>
      <c r="AH579" s="1789">
        <f t="shared" si="471"/>
        <v>67.8</v>
      </c>
      <c r="AI579" s="1586">
        <f t="shared" si="462"/>
        <v>60</v>
      </c>
      <c r="AJ579" s="1789">
        <f t="shared" si="462"/>
        <v>0</v>
      </c>
      <c r="AK579" s="1585">
        <f t="shared" si="463"/>
        <v>0</v>
      </c>
      <c r="AM579" s="1944" t="s">
        <v>150</v>
      </c>
      <c r="AN579" s="1743">
        <f t="shared" si="464"/>
        <v>121</v>
      </c>
      <c r="AO579" s="858">
        <f t="shared" si="465"/>
        <v>83.22</v>
      </c>
      <c r="AP579" s="2100" t="s">
        <v>157</v>
      </c>
      <c r="AQ579" s="1801">
        <f t="shared" si="466"/>
        <v>67.8</v>
      </c>
      <c r="AR579" s="856">
        <f t="shared" si="467"/>
        <v>60</v>
      </c>
    </row>
    <row r="580" spans="2:44" ht="15.75" thickBot="1">
      <c r="B580" s="61"/>
      <c r="C580" s="999"/>
      <c r="D580" s="71"/>
      <c r="E580" s="307" t="s">
        <v>118</v>
      </c>
      <c r="F580" s="102" t="s">
        <v>119</v>
      </c>
      <c r="G580" s="471" t="s">
        <v>120</v>
      </c>
      <c r="H580" s="155"/>
      <c r="J580" s="71"/>
      <c r="M580" s="71"/>
      <c r="O580" s="1944" t="s">
        <v>75</v>
      </c>
      <c r="P580" s="1724"/>
      <c r="Q580" s="1569"/>
      <c r="R580" s="1724"/>
      <c r="S580" s="1569"/>
      <c r="T580" s="1724"/>
      <c r="U580" s="1569"/>
      <c r="V580" s="1724">
        <f t="shared" si="468"/>
        <v>0</v>
      </c>
      <c r="W580" s="1586">
        <f t="shared" si="469"/>
        <v>0</v>
      </c>
      <c r="X580" s="1724">
        <f t="shared" si="460"/>
        <v>0</v>
      </c>
      <c r="Y580" s="1585">
        <f t="shared" si="461"/>
        <v>0</v>
      </c>
      <c r="AA580" s="125" t="s">
        <v>156</v>
      </c>
      <c r="AB580" s="2160"/>
      <c r="AC580" s="1960"/>
      <c r="AD580" s="1789"/>
      <c r="AE580" s="1598"/>
      <c r="AF580" s="1789"/>
      <c r="AG580" s="1681"/>
      <c r="AH580" s="1789">
        <f t="shared" si="471"/>
        <v>0</v>
      </c>
      <c r="AI580" s="1586">
        <f t="shared" si="462"/>
        <v>0</v>
      </c>
      <c r="AJ580" s="1789">
        <f t="shared" si="462"/>
        <v>0</v>
      </c>
      <c r="AK580" s="1585">
        <f t="shared" si="463"/>
        <v>0</v>
      </c>
      <c r="AM580" s="1944" t="s">
        <v>75</v>
      </c>
      <c r="AN580" s="1743">
        <f t="shared" si="464"/>
        <v>0</v>
      </c>
      <c r="AO580" s="858">
        <f t="shared" si="465"/>
        <v>0</v>
      </c>
      <c r="AP580" s="2100" t="s">
        <v>156</v>
      </c>
      <c r="AQ580" s="1801">
        <f t="shared" si="466"/>
        <v>0</v>
      </c>
      <c r="AR580" s="856">
        <f t="shared" si="467"/>
        <v>0</v>
      </c>
    </row>
    <row r="581" spans="2:44" ht="15.75" thickBot="1">
      <c r="B581" s="61"/>
      <c r="C581" s="1201"/>
      <c r="D581" s="71"/>
      <c r="E581" s="98" t="s">
        <v>327</v>
      </c>
      <c r="F581" s="1072">
        <v>67.8</v>
      </c>
      <c r="G581" s="132">
        <v>60</v>
      </c>
      <c r="H581" s="155"/>
      <c r="I581" s="87"/>
      <c r="J581" s="318"/>
      <c r="M581" s="71"/>
      <c r="O581" s="1049" t="s">
        <v>68</v>
      </c>
      <c r="P581" s="1724"/>
      <c r="Q581" s="2021"/>
      <c r="R581" s="1970">
        <f>I587+L593</f>
        <v>226.1</v>
      </c>
      <c r="S581" s="2021">
        <f>J587+M593</f>
        <v>226.1</v>
      </c>
      <c r="T581" s="1966">
        <f>F609+I602</f>
        <v>44</v>
      </c>
      <c r="U581" s="1586">
        <f>J602+G609</f>
        <v>44</v>
      </c>
      <c r="V581" s="1724">
        <f t="shared" si="468"/>
        <v>226.1</v>
      </c>
      <c r="W581" s="1586">
        <f t="shared" si="469"/>
        <v>226.1</v>
      </c>
      <c r="X581" s="1724">
        <f t="shared" si="460"/>
        <v>270.10000000000002</v>
      </c>
      <c r="Y581" s="1585">
        <f t="shared" si="461"/>
        <v>270.10000000000002</v>
      </c>
      <c r="AA581" s="2004" t="s">
        <v>209</v>
      </c>
      <c r="AB581" s="1779"/>
      <c r="AC581" s="1710"/>
      <c r="AD581" s="1790"/>
      <c r="AE581" s="2005"/>
      <c r="AF581" s="1790"/>
      <c r="AG581" s="2006"/>
      <c r="AH581" s="1790">
        <f t="shared" si="471"/>
        <v>0</v>
      </c>
      <c r="AI581" s="1590">
        <f t="shared" si="462"/>
        <v>0</v>
      </c>
      <c r="AJ581" s="1790">
        <f t="shared" si="462"/>
        <v>0</v>
      </c>
      <c r="AK581" s="1814">
        <f t="shared" si="463"/>
        <v>0</v>
      </c>
      <c r="AM581" s="1944" t="s">
        <v>68</v>
      </c>
      <c r="AN581" s="2091">
        <f>P581+R581+T581</f>
        <v>270.10000000000002</v>
      </c>
      <c r="AO581" s="858">
        <f t="shared" si="465"/>
        <v>270.10000000000002</v>
      </c>
      <c r="AP581" s="2145" t="s">
        <v>545</v>
      </c>
      <c r="AQ581" s="2146">
        <f t="shared" si="466"/>
        <v>0</v>
      </c>
      <c r="AR581" s="856">
        <f t="shared" si="467"/>
        <v>0</v>
      </c>
    </row>
    <row r="582" spans="2:44" ht="15.75" thickBot="1">
      <c r="B582" s="1139" t="s">
        <v>582</v>
      </c>
      <c r="C582" s="1136"/>
      <c r="D582" s="1137">
        <f>D575+D577+D578+D579+55+155</f>
        <v>580</v>
      </c>
      <c r="E582" s="866"/>
      <c r="F582" s="901"/>
      <c r="G582" s="1228"/>
      <c r="H582" s="29"/>
      <c r="I582" s="29"/>
      <c r="J582" s="74"/>
      <c r="K582" s="29"/>
      <c r="L582" s="29"/>
      <c r="M582" s="74"/>
      <c r="O582" s="1049" t="s">
        <v>170</v>
      </c>
      <c r="P582" s="1724"/>
      <c r="Q582" s="1569"/>
      <c r="R582" s="1724"/>
      <c r="S582" s="1569"/>
      <c r="T582" s="1724"/>
      <c r="U582" s="1569"/>
      <c r="V582" s="1724">
        <f t="shared" si="468"/>
        <v>0</v>
      </c>
      <c r="W582" s="1586">
        <f t="shared" si="469"/>
        <v>0</v>
      </c>
      <c r="X582" s="1724">
        <f t="shared" si="460"/>
        <v>0</v>
      </c>
      <c r="Y582" s="1585">
        <f t="shared" si="461"/>
        <v>0</v>
      </c>
      <c r="AA582" s="2013" t="s">
        <v>96</v>
      </c>
      <c r="AB582" s="1964">
        <f t="shared" ref="AB582" si="476">SUM(AB567:AB581)</f>
        <v>88.697999999999993</v>
      </c>
      <c r="AC582" s="2161">
        <f>SUM(AC567:AC581)</f>
        <v>78.575000000000003</v>
      </c>
      <c r="AD582" s="1964">
        <f t="shared" ref="AD582" si="477">SUM(AD567:AD581)</f>
        <v>159.18</v>
      </c>
      <c r="AE582" s="2012">
        <f>SUM(AE567:AE581)</f>
        <v>134</v>
      </c>
      <c r="AF582" s="1964">
        <f t="shared" ref="AF582" si="478">SUM(AF567:AF581)</f>
        <v>178.77</v>
      </c>
      <c r="AG582" s="2012">
        <f>SUM(AG567:AG581)</f>
        <v>142.75299999999999</v>
      </c>
      <c r="AH582" s="1964">
        <f>AB582+AD582</f>
        <v>247.87799999999999</v>
      </c>
      <c r="AI582" s="2015">
        <f>AC582+AE582</f>
        <v>212.57499999999999</v>
      </c>
      <c r="AJ582" s="1964">
        <f>AD582+AF582</f>
        <v>337.95000000000005</v>
      </c>
      <c r="AK582" s="1717">
        <f>SUM(AK567:AK581)</f>
        <v>276.75299999999999</v>
      </c>
      <c r="AM582" s="1944" t="s">
        <v>170</v>
      </c>
      <c r="AN582" s="1743">
        <f t="shared" ref="AN582:AN596" si="479">P582+R582+T582</f>
        <v>0</v>
      </c>
      <c r="AO582" s="857">
        <f t="shared" si="465"/>
        <v>0</v>
      </c>
      <c r="AP582" s="2013" t="s">
        <v>96</v>
      </c>
      <c r="AQ582" s="2142">
        <f>AB582+AD582+AF582</f>
        <v>426.64800000000002</v>
      </c>
      <c r="AR582" s="856">
        <f t="shared" si="467"/>
        <v>355.32799999999997</v>
      </c>
    </row>
    <row r="583" spans="2:44" ht="15.75" thickBot="1">
      <c r="B583" s="826"/>
      <c r="C583" s="162" t="s">
        <v>152</v>
      </c>
      <c r="D583" s="130"/>
      <c r="E583" s="483" t="s">
        <v>149</v>
      </c>
      <c r="F583" s="68"/>
      <c r="G583" s="54"/>
      <c r="H583" s="921" t="s">
        <v>603</v>
      </c>
      <c r="I583" s="68"/>
      <c r="J583" s="54"/>
      <c r="K583" s="916" t="s">
        <v>529</v>
      </c>
      <c r="L583" s="38"/>
      <c r="M583" s="50"/>
      <c r="O583" s="1049" t="s">
        <v>73</v>
      </c>
      <c r="P583" s="1724"/>
      <c r="Q583" s="1587"/>
      <c r="R583" s="1724"/>
      <c r="S583" s="1587"/>
      <c r="T583" s="1727"/>
      <c r="U583" s="1587"/>
      <c r="V583" s="1724">
        <f t="shared" si="468"/>
        <v>0</v>
      </c>
      <c r="W583" s="1586">
        <f t="shared" si="469"/>
        <v>0</v>
      </c>
      <c r="X583" s="1724">
        <f t="shared" si="460"/>
        <v>0</v>
      </c>
      <c r="Y583" s="1585">
        <f t="shared" si="461"/>
        <v>0</v>
      </c>
      <c r="AA583" s="2008" t="s">
        <v>166</v>
      </c>
      <c r="AB583" s="2105">
        <f>F577+F578+F581</f>
        <v>88.697999999999993</v>
      </c>
      <c r="AC583" s="1714">
        <f>G577+G578+G581</f>
        <v>78.575000000000003</v>
      </c>
      <c r="AD583" s="2107">
        <f>F586+F588+F589+F590+F599</f>
        <v>159.18</v>
      </c>
      <c r="AE583" s="2009">
        <f>G586+G588+G589+G590+G599</f>
        <v>134</v>
      </c>
      <c r="AF583" s="2109">
        <f>F603</f>
        <v>178.77</v>
      </c>
      <c r="AG583" s="2009"/>
      <c r="AH583" s="1825">
        <f t="shared" ref="AH583" si="480">AB583+AD583</f>
        <v>247.87799999999999</v>
      </c>
      <c r="AI583" s="2010"/>
      <c r="AJ583" s="1825">
        <f t="shared" ref="AJ583" si="481">AD583+AF583</f>
        <v>337.95000000000005</v>
      </c>
      <c r="AK583" s="2093"/>
      <c r="AM583" s="1944" t="s">
        <v>73</v>
      </c>
      <c r="AN583" s="1743">
        <f t="shared" si="479"/>
        <v>0</v>
      </c>
      <c r="AO583" s="857">
        <f t="shared" si="465"/>
        <v>0</v>
      </c>
      <c r="AP583" s="2104" t="s">
        <v>166</v>
      </c>
      <c r="AQ583" s="1800">
        <f t="shared" si="466"/>
        <v>426.64800000000002</v>
      </c>
      <c r="AR583" s="839"/>
    </row>
    <row r="584" spans="2:44" ht="15.75" thickBot="1">
      <c r="B584" s="1184" t="s">
        <v>630</v>
      </c>
      <c r="C584" s="283" t="s">
        <v>396</v>
      </c>
      <c r="D584" s="419">
        <v>60</v>
      </c>
      <c r="E584" s="85" t="s">
        <v>148</v>
      </c>
      <c r="F584" s="29"/>
      <c r="G584" s="74"/>
      <c r="H584" s="515" t="s">
        <v>118</v>
      </c>
      <c r="I584" s="229" t="s">
        <v>119</v>
      </c>
      <c r="J584" s="230" t="s">
        <v>120</v>
      </c>
      <c r="K584" s="414" t="s">
        <v>118</v>
      </c>
      <c r="L584" s="252" t="s">
        <v>119</v>
      </c>
      <c r="M584" s="487" t="s">
        <v>120</v>
      </c>
      <c r="O584" s="1049" t="s">
        <v>54</v>
      </c>
      <c r="P584" s="1724"/>
      <c r="Q584" s="1587"/>
      <c r="R584" s="1966"/>
      <c r="S584" s="1587"/>
      <c r="T584" s="1724"/>
      <c r="U584" s="1587"/>
      <c r="V584" s="1724">
        <f t="shared" si="468"/>
        <v>0</v>
      </c>
      <c r="W584" s="1586">
        <f t="shared" si="469"/>
        <v>0</v>
      </c>
      <c r="X584" s="1724">
        <f t="shared" si="460"/>
        <v>0</v>
      </c>
      <c r="Y584" s="1585">
        <f t="shared" si="461"/>
        <v>0</v>
      </c>
      <c r="AA584" s="2094" t="s">
        <v>878</v>
      </c>
      <c r="AB584" s="2095"/>
      <c r="AC584" s="2096"/>
      <c r="AD584" s="1778"/>
      <c r="AE584" s="1815"/>
      <c r="AF584" s="1778"/>
      <c r="AG584" s="2097"/>
      <c r="AH584" s="1788"/>
      <c r="AI584" s="2098"/>
      <c r="AJ584" s="1788"/>
      <c r="AK584" s="1603"/>
      <c r="AM584" s="1944" t="s">
        <v>54</v>
      </c>
      <c r="AN584" s="1743">
        <f t="shared" si="479"/>
        <v>0</v>
      </c>
      <c r="AO584" s="857">
        <f t="shared" si="465"/>
        <v>0</v>
      </c>
      <c r="AP584" s="2118" t="s">
        <v>878</v>
      </c>
      <c r="AQ584" s="1839">
        <f>AB584+AD584+AF584</f>
        <v>0</v>
      </c>
      <c r="AR584" s="752">
        <f>AC584+AE584+AG584</f>
        <v>0</v>
      </c>
    </row>
    <row r="585" spans="2:44" ht="15.75" thickBot="1">
      <c r="B585" s="478" t="s">
        <v>490</v>
      </c>
      <c r="C585" s="398" t="s">
        <v>149</v>
      </c>
      <c r="D585" s="429">
        <v>250</v>
      </c>
      <c r="E585" s="263" t="s">
        <v>118</v>
      </c>
      <c r="F585" s="97" t="s">
        <v>119</v>
      </c>
      <c r="G585" s="135" t="s">
        <v>120</v>
      </c>
      <c r="H585" s="100" t="s">
        <v>150</v>
      </c>
      <c r="I585" s="177">
        <v>121</v>
      </c>
      <c r="J585" s="426">
        <v>83.22</v>
      </c>
      <c r="K585" s="98" t="s">
        <v>530</v>
      </c>
      <c r="L585" s="128">
        <v>43.5</v>
      </c>
      <c r="M585" s="132">
        <v>43.5</v>
      </c>
      <c r="O585" s="1049" t="s">
        <v>78</v>
      </c>
      <c r="P585" s="1966"/>
      <c r="Q585" s="1630"/>
      <c r="R585" s="1724">
        <f>I592</f>
        <v>5</v>
      </c>
      <c r="S585" s="1587">
        <f>J592</f>
        <v>5</v>
      </c>
      <c r="T585" s="1724">
        <f>F608</f>
        <v>0.55000000000000004</v>
      </c>
      <c r="U585" s="1587">
        <f>G608</f>
        <v>0.55000000000000004</v>
      </c>
      <c r="V585" s="1724">
        <f t="shared" si="468"/>
        <v>5</v>
      </c>
      <c r="W585" s="1586">
        <f t="shared" si="469"/>
        <v>5</v>
      </c>
      <c r="X585" s="1724">
        <f t="shared" si="460"/>
        <v>5.55</v>
      </c>
      <c r="Y585" s="1585">
        <f t="shared" si="461"/>
        <v>5.55</v>
      </c>
      <c r="AA585" s="1873" t="s">
        <v>879</v>
      </c>
      <c r="AB585" s="1777"/>
      <c r="AC585" s="1878"/>
      <c r="AD585" s="1680">
        <f>I599</f>
        <v>124.85</v>
      </c>
      <c r="AE585" s="1882">
        <f>J599</f>
        <v>110</v>
      </c>
      <c r="AF585" s="1789">
        <f>L606</f>
        <v>33.75</v>
      </c>
      <c r="AG585" s="1886">
        <f>M606</f>
        <v>30.5</v>
      </c>
      <c r="AH585" s="1789">
        <f t="shared" ref="AH585:AH589" si="482">AB585+AD585</f>
        <v>124.85</v>
      </c>
      <c r="AI585" s="1890">
        <f>AC585+AE585</f>
        <v>110</v>
      </c>
      <c r="AJ585" s="1789">
        <f t="shared" ref="AJ585:AJ608" si="483">AD585+AF585</f>
        <v>158.6</v>
      </c>
      <c r="AK585" s="1893">
        <f>AE585+AG585</f>
        <v>140.5</v>
      </c>
      <c r="AM585" s="1944" t="s">
        <v>78</v>
      </c>
      <c r="AN585" s="1743">
        <f t="shared" si="479"/>
        <v>5.55</v>
      </c>
      <c r="AO585" s="1047">
        <f t="shared" si="465"/>
        <v>5.55</v>
      </c>
      <c r="AP585" s="1660" t="s">
        <v>879</v>
      </c>
      <c r="AQ585" s="1840">
        <f>AB585+AD585+AF585</f>
        <v>158.6</v>
      </c>
      <c r="AR585" s="1667">
        <f>AC585+AE585+AG585</f>
        <v>140.5</v>
      </c>
    </row>
    <row r="586" spans="2:44">
      <c r="B586" s="359" t="s">
        <v>132</v>
      </c>
      <c r="C586" s="2572" t="s">
        <v>148</v>
      </c>
      <c r="D586" s="341"/>
      <c r="E586" s="100" t="s">
        <v>117</v>
      </c>
      <c r="F586" s="123">
        <v>64.38</v>
      </c>
      <c r="G586" s="264">
        <v>51.5</v>
      </c>
      <c r="H586" s="486" t="s">
        <v>91</v>
      </c>
      <c r="I586" s="445">
        <v>20.5</v>
      </c>
      <c r="J586" s="991">
        <v>20.5</v>
      </c>
      <c r="K586" s="186" t="s">
        <v>95</v>
      </c>
      <c r="L586" s="276">
        <v>6</v>
      </c>
      <c r="M586" s="236">
        <v>6</v>
      </c>
      <c r="O586" s="1049" t="s">
        <v>95</v>
      </c>
      <c r="P586" s="1966">
        <f>I575</f>
        <v>6.6</v>
      </c>
      <c r="Q586" s="1586">
        <f>J575</f>
        <v>6.6</v>
      </c>
      <c r="R586" s="1724">
        <f>F591+L586</f>
        <v>11</v>
      </c>
      <c r="S586" s="1586">
        <f>G591+M586</f>
        <v>11</v>
      </c>
      <c r="T586" s="1724">
        <f>F604+I603</f>
        <v>8</v>
      </c>
      <c r="U586" s="1586">
        <f>G604+J603</f>
        <v>8</v>
      </c>
      <c r="V586" s="1724">
        <f t="shared" si="468"/>
        <v>17.600000000000001</v>
      </c>
      <c r="W586" s="1586">
        <f t="shared" si="469"/>
        <v>17.600000000000001</v>
      </c>
      <c r="X586" s="1724">
        <f t="shared" si="460"/>
        <v>19</v>
      </c>
      <c r="Y586" s="1585">
        <f t="shared" si="461"/>
        <v>19</v>
      </c>
      <c r="AA586" s="1874" t="s">
        <v>880</v>
      </c>
      <c r="AB586" s="1782"/>
      <c r="AC586" s="1879"/>
      <c r="AD586" s="444"/>
      <c r="AE586" s="1883"/>
      <c r="AF586" s="1793"/>
      <c r="AG586" s="1887"/>
      <c r="AH586" s="1789">
        <f t="shared" si="482"/>
        <v>0</v>
      </c>
      <c r="AI586" s="1890">
        <f>AC586+AE586</f>
        <v>0</v>
      </c>
      <c r="AJ586" s="1789">
        <f t="shared" si="483"/>
        <v>0</v>
      </c>
      <c r="AK586" s="1893">
        <f>AE586+AG586</f>
        <v>0</v>
      </c>
      <c r="AM586" s="1944" t="s">
        <v>95</v>
      </c>
      <c r="AN586" s="1743">
        <f t="shared" si="479"/>
        <v>25.6</v>
      </c>
      <c r="AO586" s="1047">
        <f t="shared" si="465"/>
        <v>25.6</v>
      </c>
      <c r="AP586" s="1661" t="s">
        <v>880</v>
      </c>
      <c r="AQ586" s="1840">
        <f t="shared" ref="AQ586:AQ588" si="484">AB586+AD586+AF586</f>
        <v>0</v>
      </c>
      <c r="AR586" s="1667">
        <f t="shared" ref="AR586:AR588" si="485">AC586+AE586+AG586</f>
        <v>0</v>
      </c>
    </row>
    <row r="587" spans="2:44">
      <c r="B587" s="156" t="s">
        <v>210</v>
      </c>
      <c r="C587" s="283" t="s">
        <v>604</v>
      </c>
      <c r="D587" s="920" t="s">
        <v>384</v>
      </c>
      <c r="E587" s="185" t="s">
        <v>52</v>
      </c>
      <c r="F587" s="233">
        <v>40</v>
      </c>
      <c r="G587" s="257">
        <v>30</v>
      </c>
      <c r="H587" s="486" t="s">
        <v>93</v>
      </c>
      <c r="I587" s="256">
        <v>11.1</v>
      </c>
      <c r="J587" s="267">
        <v>11.1</v>
      </c>
      <c r="K587" s="186" t="s">
        <v>94</v>
      </c>
      <c r="L587" s="276">
        <v>139.19999999999999</v>
      </c>
      <c r="M587" s="236"/>
      <c r="O587" s="1049" t="s">
        <v>103</v>
      </c>
      <c r="P587" s="1724">
        <f>I576</f>
        <v>2.4</v>
      </c>
      <c r="Q587" s="1569">
        <f>J576</f>
        <v>2.4</v>
      </c>
      <c r="R587" s="1724">
        <f>I590</f>
        <v>5</v>
      </c>
      <c r="S587" s="1569">
        <f>J590</f>
        <v>5</v>
      </c>
      <c r="T587" s="1724"/>
      <c r="U587" s="1569"/>
      <c r="V587" s="1724">
        <f t="shared" si="468"/>
        <v>7.4</v>
      </c>
      <c r="W587" s="1586">
        <f t="shared" si="469"/>
        <v>7.4</v>
      </c>
      <c r="X587" s="1724">
        <f t="shared" si="460"/>
        <v>5</v>
      </c>
      <c r="Y587" s="1585">
        <f t="shared" si="461"/>
        <v>5</v>
      </c>
      <c r="AA587" s="1875" t="s">
        <v>881</v>
      </c>
      <c r="AB587" s="1782"/>
      <c r="AC587" s="1879"/>
      <c r="AD587" s="444"/>
      <c r="AE587" s="1883"/>
      <c r="AF587" s="1789"/>
      <c r="AG587" s="1887"/>
      <c r="AH587" s="1789">
        <f t="shared" si="482"/>
        <v>0</v>
      </c>
      <c r="AI587" s="1890">
        <f>AC587+AE587</f>
        <v>0</v>
      </c>
      <c r="AJ587" s="1789">
        <f t="shared" si="483"/>
        <v>0</v>
      </c>
      <c r="AK587" s="1893">
        <f>AE587+AG587</f>
        <v>0</v>
      </c>
      <c r="AM587" s="1944" t="s">
        <v>103</v>
      </c>
      <c r="AN587" s="1743">
        <f t="shared" si="479"/>
        <v>7.4</v>
      </c>
      <c r="AO587" s="1047">
        <f t="shared" si="465"/>
        <v>7.4</v>
      </c>
      <c r="AP587" s="1662" t="s">
        <v>881</v>
      </c>
      <c r="AQ587" s="1840">
        <f t="shared" si="484"/>
        <v>0</v>
      </c>
      <c r="AR587" s="1667">
        <f t="shared" si="485"/>
        <v>0</v>
      </c>
    </row>
    <row r="588" spans="2:44" ht="15.75" thickBot="1">
      <c r="B588" s="156" t="s">
        <v>333</v>
      </c>
      <c r="C588" s="393" t="s">
        <v>528</v>
      </c>
      <c r="D588" s="429">
        <v>180</v>
      </c>
      <c r="E588" s="185" t="s">
        <v>79</v>
      </c>
      <c r="F588" s="233">
        <v>12.5</v>
      </c>
      <c r="G588" s="257">
        <v>10</v>
      </c>
      <c r="H588" s="185" t="s">
        <v>61</v>
      </c>
      <c r="I588" s="272">
        <v>0.38</v>
      </c>
      <c r="J588" s="736">
        <v>0.38</v>
      </c>
      <c r="K588" s="185" t="s">
        <v>97</v>
      </c>
      <c r="L588" s="271">
        <v>0.41</v>
      </c>
      <c r="M588" s="737">
        <v>0.41</v>
      </c>
      <c r="O588" s="1049" t="s">
        <v>906</v>
      </c>
      <c r="P588" s="1724"/>
      <c r="Q588" s="1586"/>
      <c r="R588" s="1724"/>
      <c r="S588" s="1586"/>
      <c r="T588" s="1912">
        <f>U588/1000/0.04</f>
        <v>7.3499999999999996E-2</v>
      </c>
      <c r="U588" s="2085">
        <f>'12-18л. РАСКЛАДКА'!G607</f>
        <v>2.94</v>
      </c>
      <c r="V588" s="1724">
        <f t="shared" si="468"/>
        <v>0</v>
      </c>
      <c r="W588" s="1586">
        <f t="shared" si="469"/>
        <v>0</v>
      </c>
      <c r="X588" s="1724">
        <f t="shared" si="460"/>
        <v>7.3499999999999996E-2</v>
      </c>
      <c r="Y588" s="1585">
        <f t="shared" si="461"/>
        <v>2.94</v>
      </c>
      <c r="AA588" s="1876" t="s">
        <v>882</v>
      </c>
      <c r="AB588" s="1927">
        <f>L579</f>
        <v>7.5</v>
      </c>
      <c r="AC588" s="1880">
        <f>M579</f>
        <v>7</v>
      </c>
      <c r="AD588" s="1779"/>
      <c r="AE588" s="1884"/>
      <c r="AF588" s="1790">
        <f>L607</f>
        <v>0</v>
      </c>
      <c r="AG588" s="1888">
        <f>M607</f>
        <v>0</v>
      </c>
      <c r="AH588" s="1790">
        <f t="shared" si="482"/>
        <v>7.5</v>
      </c>
      <c r="AI588" s="1891"/>
      <c r="AJ588" s="1812">
        <f t="shared" si="483"/>
        <v>0</v>
      </c>
      <c r="AK588" s="2046"/>
      <c r="AM588" s="1944" t="s">
        <v>162</v>
      </c>
      <c r="AN588" s="1743">
        <f t="shared" si="479"/>
        <v>7.3499999999999996E-2</v>
      </c>
      <c r="AO588" s="1047">
        <f t="shared" si="465"/>
        <v>2.94</v>
      </c>
      <c r="AP588" s="1707" t="s">
        <v>882</v>
      </c>
      <c r="AQ588" s="1840">
        <f t="shared" si="484"/>
        <v>7.5</v>
      </c>
      <c r="AR588" s="1667">
        <f t="shared" si="485"/>
        <v>7</v>
      </c>
    </row>
    <row r="589" spans="2:44" ht="15.75" thickBot="1">
      <c r="B589" s="478" t="s">
        <v>490</v>
      </c>
      <c r="C589" s="283" t="s">
        <v>341</v>
      </c>
      <c r="D589" s="166">
        <v>200</v>
      </c>
      <c r="E589" s="185" t="s">
        <v>232</v>
      </c>
      <c r="F589" s="233">
        <v>12</v>
      </c>
      <c r="G589" s="257">
        <v>10</v>
      </c>
      <c r="H589" s="185" t="s">
        <v>437</v>
      </c>
      <c r="I589" s="256">
        <v>9</v>
      </c>
      <c r="J589" s="267">
        <v>9</v>
      </c>
      <c r="K589" s="61"/>
      <c r="M589" s="71"/>
      <c r="O589" s="1049" t="s">
        <v>57</v>
      </c>
      <c r="P589" s="2059">
        <f>L577</f>
        <v>7</v>
      </c>
      <c r="Q589" s="1600">
        <f>M577</f>
        <v>7</v>
      </c>
      <c r="R589" s="1724">
        <f>L594</f>
        <v>20</v>
      </c>
      <c r="S589" s="1600">
        <f>M594</f>
        <v>20</v>
      </c>
      <c r="T589" s="1724">
        <f>L604</f>
        <v>0.5</v>
      </c>
      <c r="U589" s="1600">
        <f>M604</f>
        <v>0.5</v>
      </c>
      <c r="V589" s="1724">
        <f t="shared" si="468"/>
        <v>27</v>
      </c>
      <c r="W589" s="1586">
        <f t="shared" si="469"/>
        <v>27</v>
      </c>
      <c r="X589" s="1724">
        <f t="shared" si="460"/>
        <v>20.5</v>
      </c>
      <c r="Y589" s="1585">
        <f t="shared" si="461"/>
        <v>20.5</v>
      </c>
      <c r="AA589" s="1877" t="s">
        <v>883</v>
      </c>
      <c r="AB589" s="1896">
        <f>SUM(AB585:AB588)</f>
        <v>7.5</v>
      </c>
      <c r="AC589" s="1881">
        <f>AC585+AC586+AC587+AC588</f>
        <v>7</v>
      </c>
      <c r="AD589" s="1968">
        <f>AD585+AD586+AD587+AD588</f>
        <v>124.85</v>
      </c>
      <c r="AE589" s="1885">
        <f>AE585+AE586+AE587+AE588</f>
        <v>110</v>
      </c>
      <c r="AF589" s="1898">
        <f>SUM(AF585:AF588)</f>
        <v>33.75</v>
      </c>
      <c r="AG589" s="1889">
        <f>SUM(AG585:AG588)</f>
        <v>30.5</v>
      </c>
      <c r="AH589" s="1898">
        <f t="shared" si="482"/>
        <v>132.35</v>
      </c>
      <c r="AI589" s="1892">
        <f>AC589+AE589</f>
        <v>117</v>
      </c>
      <c r="AJ589" s="1898">
        <f t="shared" si="483"/>
        <v>158.6</v>
      </c>
      <c r="AK589" s="1895">
        <f>AE589+AG589</f>
        <v>140.5</v>
      </c>
      <c r="AM589" s="1944" t="s">
        <v>57</v>
      </c>
      <c r="AN589" s="1743">
        <f t="shared" si="479"/>
        <v>27.5</v>
      </c>
      <c r="AO589" s="1047">
        <f t="shared" si="465"/>
        <v>27.5</v>
      </c>
      <c r="AP589" s="1719" t="s">
        <v>883</v>
      </c>
      <c r="AQ589" s="2119">
        <f>AB589+AD589+AF589</f>
        <v>166.1</v>
      </c>
      <c r="AR589" s="2120">
        <f>AC589+AE589+AG589</f>
        <v>147.5</v>
      </c>
    </row>
    <row r="590" spans="2:44" ht="15.75" thickBot="1">
      <c r="B590" s="359" t="s">
        <v>127</v>
      </c>
      <c r="C590" s="167" t="s">
        <v>340</v>
      </c>
      <c r="D590" s="341"/>
      <c r="E590" s="185" t="s">
        <v>112</v>
      </c>
      <c r="F590" s="251">
        <v>2.5</v>
      </c>
      <c r="G590" s="1077">
        <v>2.5</v>
      </c>
      <c r="H590" s="301" t="s">
        <v>103</v>
      </c>
      <c r="I590" s="276">
        <v>5</v>
      </c>
      <c r="J590" s="275">
        <v>5</v>
      </c>
      <c r="K590" s="892" t="s">
        <v>339</v>
      </c>
      <c r="L590" s="312"/>
      <c r="M590" s="1034"/>
      <c r="O590" s="1049" t="s">
        <v>171</v>
      </c>
      <c r="P590" s="1724"/>
      <c r="Q590" s="1569"/>
      <c r="R590" s="1724"/>
      <c r="S590" s="1569"/>
      <c r="T590" s="1724"/>
      <c r="U590" s="1569"/>
      <c r="V590" s="1724">
        <f t="shared" si="468"/>
        <v>0</v>
      </c>
      <c r="W590" s="1586">
        <f t="shared" si="469"/>
        <v>0</v>
      </c>
      <c r="X590" s="1724">
        <f t="shared" si="460"/>
        <v>0</v>
      </c>
      <c r="Y590" s="1585">
        <f t="shared" si="461"/>
        <v>0</v>
      </c>
      <c r="AA590" s="1702" t="s">
        <v>896</v>
      </c>
      <c r="AB590" s="1784"/>
      <c r="AC590" s="2140"/>
      <c r="AD590" s="1788">
        <f>F596</f>
        <v>2.9449999999999998</v>
      </c>
      <c r="AE590" s="1704">
        <f>G596</f>
        <v>2.5</v>
      </c>
      <c r="AF590" s="1784"/>
      <c r="AG590" s="1703"/>
      <c r="AH590" s="1788"/>
      <c r="AI590" s="1769">
        <f>AC590+AE590</f>
        <v>2.5</v>
      </c>
      <c r="AJ590" s="1788">
        <f t="shared" si="483"/>
        <v>2.9449999999999998</v>
      </c>
      <c r="AK590" s="1806">
        <f>AE590+AG590</f>
        <v>2.5</v>
      </c>
      <c r="AM590" s="1944" t="s">
        <v>171</v>
      </c>
      <c r="AN590" s="1743">
        <f t="shared" si="479"/>
        <v>0</v>
      </c>
      <c r="AO590" s="1047">
        <f t="shared" si="465"/>
        <v>0</v>
      </c>
      <c r="AP590" s="2121" t="s">
        <v>389</v>
      </c>
      <c r="AQ590" s="2122">
        <f t="shared" ref="AQ590:AQ591" si="486">AB590+AD590+AF590</f>
        <v>2.9449999999999998</v>
      </c>
      <c r="AR590" s="2123">
        <f t="shared" ref="AR590:AR591" si="487">AC590+AE590+AG590</f>
        <v>2.5</v>
      </c>
    </row>
    <row r="591" spans="2:44" ht="15.75" thickBot="1">
      <c r="B591" s="246" t="s">
        <v>10</v>
      </c>
      <c r="C591" s="241" t="s">
        <v>11</v>
      </c>
      <c r="D591" s="239">
        <v>70</v>
      </c>
      <c r="E591" s="249" t="s">
        <v>95</v>
      </c>
      <c r="F591" s="276">
        <v>5</v>
      </c>
      <c r="G591" s="257">
        <v>5</v>
      </c>
      <c r="H591" s="185" t="s">
        <v>110</v>
      </c>
      <c r="I591" s="1229"/>
      <c r="J591" s="267"/>
      <c r="K591" s="317" t="s">
        <v>118</v>
      </c>
      <c r="L591" s="103" t="s">
        <v>119</v>
      </c>
      <c r="M591" s="909" t="s">
        <v>120</v>
      </c>
      <c r="O591" s="1049" t="s">
        <v>59</v>
      </c>
      <c r="P591" s="1724">
        <f>L575</f>
        <v>1</v>
      </c>
      <c r="Q591" s="1569">
        <f>M575</f>
        <v>1</v>
      </c>
      <c r="R591" s="1724"/>
      <c r="S591" s="1569"/>
      <c r="T591" s="1724">
        <f>L602</f>
        <v>1</v>
      </c>
      <c r="U591" s="1569">
        <f>M602</f>
        <v>1</v>
      </c>
      <c r="V591" s="1724">
        <f t="shared" si="468"/>
        <v>1</v>
      </c>
      <c r="W591" s="1586">
        <f t="shared" si="469"/>
        <v>1</v>
      </c>
      <c r="X591" s="1724">
        <f t="shared" si="460"/>
        <v>1</v>
      </c>
      <c r="Y591" s="1585">
        <f t="shared" si="461"/>
        <v>1</v>
      </c>
      <c r="AA591" s="1692" t="s">
        <v>897</v>
      </c>
      <c r="AB591" s="1783">
        <f>F575</f>
        <v>112.27</v>
      </c>
      <c r="AC591" s="1693">
        <f>G575</f>
        <v>86.1</v>
      </c>
      <c r="AD591" s="1790"/>
      <c r="AE591" s="2061"/>
      <c r="AF591" s="1783"/>
      <c r="AG591" s="1693"/>
      <c r="AH591" s="1790">
        <f t="shared" ref="AH591:AH608" si="488">AB591+AD591</f>
        <v>112.27</v>
      </c>
      <c r="AI591" s="1770">
        <f>AC591+AE591</f>
        <v>86.1</v>
      </c>
      <c r="AJ591" s="1790">
        <f t="shared" si="483"/>
        <v>0</v>
      </c>
      <c r="AK591" s="1807">
        <f>AE591+AG591</f>
        <v>0</v>
      </c>
      <c r="AM591" s="1944" t="s">
        <v>59</v>
      </c>
      <c r="AN591" s="1743">
        <f t="shared" si="479"/>
        <v>2</v>
      </c>
      <c r="AO591" s="1047">
        <f t="shared" si="465"/>
        <v>2</v>
      </c>
      <c r="AP591" s="1692" t="s">
        <v>188</v>
      </c>
      <c r="AQ591" s="1840">
        <f t="shared" si="486"/>
        <v>112.27</v>
      </c>
      <c r="AR591" s="1667">
        <f t="shared" si="487"/>
        <v>86.1</v>
      </c>
    </row>
    <row r="592" spans="2:44" ht="15.75" thickBot="1">
      <c r="B592" s="246" t="s">
        <v>10</v>
      </c>
      <c r="C592" s="241" t="s">
        <v>792</v>
      </c>
      <c r="D592" s="239">
        <v>40</v>
      </c>
      <c r="E592" s="185" t="s">
        <v>61</v>
      </c>
      <c r="F592" s="272">
        <v>1.1000000000000001</v>
      </c>
      <c r="G592" s="273">
        <v>1.1000000000000001</v>
      </c>
      <c r="H592" s="185" t="s">
        <v>108</v>
      </c>
      <c r="I592" s="498">
        <v>5</v>
      </c>
      <c r="J592" s="1231">
        <v>5</v>
      </c>
      <c r="K592" s="98" t="s">
        <v>126</v>
      </c>
      <c r="L592" s="123">
        <v>4.2</v>
      </c>
      <c r="M592" s="131">
        <v>4.2</v>
      </c>
      <c r="O592" s="1049" t="s">
        <v>169</v>
      </c>
      <c r="P592" s="1724"/>
      <c r="Q592" s="1569"/>
      <c r="R592" s="1724"/>
      <c r="S592" s="1569"/>
      <c r="T592" s="1724"/>
      <c r="U592" s="1569"/>
      <c r="V592" s="1724">
        <f t="shared" si="468"/>
        <v>0</v>
      </c>
      <c r="W592" s="1586">
        <f t="shared" si="469"/>
        <v>0</v>
      </c>
      <c r="X592" s="1724">
        <f t="shared" si="460"/>
        <v>0</v>
      </c>
      <c r="Y592" s="1585">
        <f t="shared" si="461"/>
        <v>0</v>
      </c>
      <c r="AA592" s="1721" t="s">
        <v>876</v>
      </c>
      <c r="AB592" s="1867">
        <f t="shared" ref="AB592" si="489">SUM(AB590:AB591)</f>
        <v>112.27</v>
      </c>
      <c r="AC592" s="2056">
        <f t="shared" ref="AC592" si="490">SUM(AC590:AC591)</f>
        <v>86.1</v>
      </c>
      <c r="AD592" s="1865">
        <f t="shared" ref="AD592" si="491">SUM(AD590:AD591)</f>
        <v>2.9449999999999998</v>
      </c>
      <c r="AE592" s="1698">
        <f t="shared" ref="AE592" si="492">SUM(AE590:AE591)</f>
        <v>2.5</v>
      </c>
      <c r="AF592" s="1867">
        <f t="shared" ref="AF592" si="493">SUM(AF590:AF591)</f>
        <v>0</v>
      </c>
      <c r="AG592" s="1866">
        <f t="shared" ref="AG592" si="494">SUM(AG590:AG591)</f>
        <v>0</v>
      </c>
      <c r="AH592" s="1796">
        <f t="shared" si="488"/>
        <v>115.21499999999999</v>
      </c>
      <c r="AI592" s="1771">
        <f>AC592+AE592</f>
        <v>88.6</v>
      </c>
      <c r="AJ592" s="1796">
        <f t="shared" si="483"/>
        <v>2.9449999999999998</v>
      </c>
      <c r="AK592" s="1699">
        <f>AE592+AG592</f>
        <v>2.5</v>
      </c>
      <c r="AM592" s="1944" t="s">
        <v>169</v>
      </c>
      <c r="AN592" s="1743">
        <f t="shared" si="479"/>
        <v>0</v>
      </c>
      <c r="AO592" s="1047">
        <f t="shared" si="465"/>
        <v>0</v>
      </c>
      <c r="AP592" s="1721" t="s">
        <v>876</v>
      </c>
      <c r="AQ592" s="2124">
        <f>AB592+AD592+AF592</f>
        <v>115.21499999999999</v>
      </c>
      <c r="AR592" s="2125">
        <f>AC592+AE592+AG592</f>
        <v>88.6</v>
      </c>
    </row>
    <row r="593" spans="2:44">
      <c r="B593" s="266" t="s">
        <v>1004</v>
      </c>
      <c r="C593" s="241" t="s">
        <v>1009</v>
      </c>
      <c r="D593" s="285">
        <v>110</v>
      </c>
      <c r="E593" s="185" t="s">
        <v>222</v>
      </c>
      <c r="F593" s="233">
        <v>0.01</v>
      </c>
      <c r="G593" s="257">
        <v>0.01</v>
      </c>
      <c r="H593" s="248" t="s">
        <v>92</v>
      </c>
      <c r="I593" s="498">
        <v>1.5</v>
      </c>
      <c r="J593" s="1231">
        <v>1.5</v>
      </c>
      <c r="K593" s="186" t="s">
        <v>68</v>
      </c>
      <c r="L593" s="233">
        <v>215</v>
      </c>
      <c r="M593" s="235">
        <v>215</v>
      </c>
      <c r="O593" s="1049" t="s">
        <v>168</v>
      </c>
      <c r="P593" s="1724"/>
      <c r="Q593" s="1569"/>
      <c r="R593" s="1724">
        <f>L592</f>
        <v>4.2</v>
      </c>
      <c r="S593" s="1569">
        <f>M592</f>
        <v>4.2</v>
      </c>
      <c r="T593" s="1724"/>
      <c r="U593" s="1569"/>
      <c r="V593" s="1724">
        <f t="shared" si="468"/>
        <v>4.2</v>
      </c>
      <c r="W593" s="1586">
        <f t="shared" si="469"/>
        <v>4.2</v>
      </c>
      <c r="X593" s="1724">
        <f t="shared" si="460"/>
        <v>4.2</v>
      </c>
      <c r="Y593" s="1585">
        <f t="shared" si="461"/>
        <v>4.2</v>
      </c>
      <c r="AA593" s="1843" t="s">
        <v>387</v>
      </c>
      <c r="AB593" s="1900"/>
      <c r="AC593" s="1901"/>
      <c r="AD593" s="1899"/>
      <c r="AE593" s="1846"/>
      <c r="AF593" s="1900"/>
      <c r="AG593" s="1901"/>
      <c r="AH593" s="1788">
        <f t="shared" si="488"/>
        <v>0</v>
      </c>
      <c r="AI593" s="1852"/>
      <c r="AJ593" s="1788">
        <f t="shared" si="483"/>
        <v>0</v>
      </c>
      <c r="AK593" s="1856"/>
      <c r="AM593" s="1944" t="s">
        <v>168</v>
      </c>
      <c r="AN593" s="1743">
        <f t="shared" si="479"/>
        <v>4.2</v>
      </c>
      <c r="AO593" s="1047">
        <f t="shared" si="465"/>
        <v>4.2</v>
      </c>
      <c r="AP593" s="2126" t="s">
        <v>387</v>
      </c>
      <c r="AQ593" s="2122">
        <f t="shared" ref="AQ593:AQ595" si="495">AB593+AD593+AF593</f>
        <v>0</v>
      </c>
      <c r="AR593" s="2123">
        <f t="shared" ref="AR593:AR595" si="496">AC593+AE593+AG593</f>
        <v>0</v>
      </c>
    </row>
    <row r="594" spans="2:44">
      <c r="B594" s="61"/>
      <c r="C594" s="999"/>
      <c r="D594" s="71"/>
      <c r="E594" s="1073" t="s">
        <v>975</v>
      </c>
      <c r="F594" s="233">
        <v>200</v>
      </c>
      <c r="G594" s="257">
        <v>200</v>
      </c>
      <c r="H594" s="248" t="s">
        <v>94</v>
      </c>
      <c r="I594" s="233">
        <v>15</v>
      </c>
      <c r="J594" s="1230">
        <v>15</v>
      </c>
      <c r="K594" s="248" t="s">
        <v>57</v>
      </c>
      <c r="L594" s="251">
        <v>20</v>
      </c>
      <c r="M594" s="255">
        <v>20</v>
      </c>
      <c r="O594" s="1049" t="s">
        <v>89</v>
      </c>
      <c r="P594" s="1724"/>
      <c r="Q594" s="1569"/>
      <c r="R594" s="1724"/>
      <c r="S594" s="1569"/>
      <c r="T594" s="1724"/>
      <c r="U594" s="1569"/>
      <c r="V594" s="1724">
        <f t="shared" si="468"/>
        <v>0</v>
      </c>
      <c r="W594" s="1586">
        <f t="shared" si="469"/>
        <v>0</v>
      </c>
      <c r="X594" s="1724">
        <f t="shared" si="460"/>
        <v>0</v>
      </c>
      <c r="Y594" s="1585">
        <f t="shared" si="461"/>
        <v>0</v>
      </c>
      <c r="AA594" s="1844" t="s">
        <v>121</v>
      </c>
      <c r="AB594" s="1902"/>
      <c r="AC594" s="1848"/>
      <c r="AD594" s="1965"/>
      <c r="AE594" s="1904"/>
      <c r="AF594" s="1902"/>
      <c r="AG594" s="1848"/>
      <c r="AH594" s="1789">
        <f t="shared" si="488"/>
        <v>0</v>
      </c>
      <c r="AI594" s="1853">
        <f>AC594+AE594</f>
        <v>0</v>
      </c>
      <c r="AJ594" s="1789">
        <f t="shared" si="483"/>
        <v>0</v>
      </c>
      <c r="AK594" s="1857">
        <f t="shared" ref="AK594:AK608" si="497">AE594+AG594</f>
        <v>0</v>
      </c>
      <c r="AM594" s="1944" t="s">
        <v>89</v>
      </c>
      <c r="AN594" s="1743">
        <f t="shared" si="479"/>
        <v>0</v>
      </c>
      <c r="AO594" s="1047">
        <f t="shared" si="465"/>
        <v>0</v>
      </c>
      <c r="AP594" s="1844" t="s">
        <v>121</v>
      </c>
      <c r="AQ594" s="1840">
        <f t="shared" si="495"/>
        <v>0</v>
      </c>
      <c r="AR594" s="1667">
        <f t="shared" si="496"/>
        <v>0</v>
      </c>
    </row>
    <row r="595" spans="2:44" ht="15.75" thickBot="1">
      <c r="B595" s="61"/>
      <c r="C595" s="999"/>
      <c r="D595" s="71"/>
      <c r="E595" s="474" t="s">
        <v>634</v>
      </c>
      <c r="F595" s="251"/>
      <c r="G595" s="1080">
        <v>1.3</v>
      </c>
      <c r="H595" s="409" t="s">
        <v>98</v>
      </c>
      <c r="I595" s="441">
        <v>4.0000000000000001E-3</v>
      </c>
      <c r="J595" s="275">
        <v>4.0000000000000001E-3</v>
      </c>
      <c r="K595" s="185" t="s">
        <v>94</v>
      </c>
      <c r="L595" s="233">
        <v>5</v>
      </c>
      <c r="M595" s="235">
        <v>5</v>
      </c>
      <c r="O595" s="1049" t="s">
        <v>61</v>
      </c>
      <c r="P595" s="1724">
        <f>I578</f>
        <v>1.5</v>
      </c>
      <c r="Q595" s="1569">
        <f>J578</f>
        <v>1.5</v>
      </c>
      <c r="R595" s="1724">
        <f>F592+I588+I596+L588</f>
        <v>2.09</v>
      </c>
      <c r="S595" s="1569">
        <f>G592+J596+M588+J588</f>
        <v>2.09</v>
      </c>
      <c r="T595" s="1727">
        <f>F610+I606</f>
        <v>0.75</v>
      </c>
      <c r="U595" s="1569">
        <f>G610+J606</f>
        <v>0.75</v>
      </c>
      <c r="V595" s="1724">
        <f>P595+R595</f>
        <v>3.59</v>
      </c>
      <c r="W595" s="1586">
        <f t="shared" si="469"/>
        <v>3.59</v>
      </c>
      <c r="X595" s="1724">
        <f t="shared" si="460"/>
        <v>2.84</v>
      </c>
      <c r="Y595" s="1585">
        <f t="shared" si="461"/>
        <v>2.84</v>
      </c>
      <c r="AA595" s="1845" t="s">
        <v>388</v>
      </c>
      <c r="AB595" s="1903"/>
      <c r="AC595" s="1868"/>
      <c r="AD595" s="1870">
        <f>F597</f>
        <v>0</v>
      </c>
      <c r="AE595" s="1905">
        <f>G597</f>
        <v>0</v>
      </c>
      <c r="AF595" s="1903"/>
      <c r="AG595" s="1868"/>
      <c r="AH595" s="1790">
        <f t="shared" si="488"/>
        <v>0</v>
      </c>
      <c r="AI595" s="1854">
        <f>AC595+AE595</f>
        <v>0</v>
      </c>
      <c r="AJ595" s="1790">
        <f t="shared" si="483"/>
        <v>0</v>
      </c>
      <c r="AK595" s="1858">
        <f t="shared" si="497"/>
        <v>0</v>
      </c>
      <c r="AM595" s="1944" t="s">
        <v>61</v>
      </c>
      <c r="AN595" s="1743">
        <f t="shared" si="479"/>
        <v>4.34</v>
      </c>
      <c r="AO595" s="1047">
        <f t="shared" si="465"/>
        <v>4.34</v>
      </c>
      <c r="AP595" s="1845" t="s">
        <v>388</v>
      </c>
      <c r="AQ595" s="1840">
        <f t="shared" si="495"/>
        <v>0</v>
      </c>
      <c r="AR595" s="1667">
        <f t="shared" si="496"/>
        <v>0</v>
      </c>
    </row>
    <row r="596" spans="2:44" ht="15.75" thickBot="1">
      <c r="B596" s="61"/>
      <c r="C596" s="999"/>
      <c r="D596" s="71"/>
      <c r="E596" s="249" t="s">
        <v>99</v>
      </c>
      <c r="F596" s="233">
        <v>2.9449999999999998</v>
      </c>
      <c r="G596" s="236">
        <v>2.5</v>
      </c>
      <c r="H596" s="185" t="s">
        <v>97</v>
      </c>
      <c r="I596" s="233">
        <v>0.2</v>
      </c>
      <c r="J596" s="411">
        <v>0.2</v>
      </c>
      <c r="K596" s="61"/>
      <c r="M596" s="71"/>
      <c r="O596" s="1049" t="s">
        <v>143</v>
      </c>
      <c r="P596" s="1724"/>
      <c r="Q596" s="1569"/>
      <c r="R596" s="1724"/>
      <c r="S596" s="1569"/>
      <c r="T596" s="1724"/>
      <c r="U596" s="1569"/>
      <c r="V596" s="1724">
        <f t="shared" si="468"/>
        <v>0</v>
      </c>
      <c r="W596" s="1586">
        <f t="shared" si="469"/>
        <v>0</v>
      </c>
      <c r="X596" s="1724">
        <f t="shared" si="460"/>
        <v>0</v>
      </c>
      <c r="Y596" s="1585">
        <f t="shared" si="461"/>
        <v>0</v>
      </c>
      <c r="AA596" s="1850" t="s">
        <v>875</v>
      </c>
      <c r="AB596" s="1871">
        <f t="shared" ref="AB596" si="498">AB593+AB594+AB595</f>
        <v>0</v>
      </c>
      <c r="AC596" s="1851">
        <f t="shared" ref="AC596" si="499">AC593+AC594+AC595</f>
        <v>0</v>
      </c>
      <c r="AD596" s="1871">
        <f t="shared" ref="AD596" si="500">AD593+AD594+AD595</f>
        <v>0</v>
      </c>
      <c r="AE596" s="1851">
        <f t="shared" ref="AE596" si="501">AE593+AE594+AE595</f>
        <v>0</v>
      </c>
      <c r="AF596" s="1871">
        <f t="shared" ref="AF596" si="502">AF593+AF594+AF595</f>
        <v>0</v>
      </c>
      <c r="AG596" s="1851">
        <f t="shared" ref="AG596" si="503">AG593+AG594+AG595</f>
        <v>0</v>
      </c>
      <c r="AH596" s="1791">
        <f t="shared" si="488"/>
        <v>0</v>
      </c>
      <c r="AI596" s="1855">
        <f>AC596+AE596</f>
        <v>0</v>
      </c>
      <c r="AJ596" s="1791">
        <f t="shared" si="483"/>
        <v>0</v>
      </c>
      <c r="AK596" s="1859">
        <f t="shared" si="497"/>
        <v>0</v>
      </c>
      <c r="AM596" s="1944" t="s">
        <v>143</v>
      </c>
      <c r="AN596" s="1743">
        <f t="shared" si="479"/>
        <v>0</v>
      </c>
      <c r="AO596" s="1047">
        <f t="shared" si="465"/>
        <v>0</v>
      </c>
      <c r="AP596" s="1850" t="s">
        <v>875</v>
      </c>
      <c r="AQ596" s="2127">
        <f>AB596+AD596+AF596</f>
        <v>0</v>
      </c>
      <c r="AR596" s="2128">
        <f>AC596+AE596+AG596</f>
        <v>0</v>
      </c>
    </row>
    <row r="597" spans="2:44" ht="15.75" thickBot="1">
      <c r="B597" s="61"/>
      <c r="C597" s="999"/>
      <c r="D597" s="71"/>
      <c r="E597" s="473" t="s">
        <v>396</v>
      </c>
      <c r="F597" s="278"/>
      <c r="G597" s="50"/>
      <c r="H597" s="473" t="s">
        <v>1011</v>
      </c>
      <c r="I597" s="38"/>
      <c r="J597" s="38"/>
      <c r="K597" s="61"/>
      <c r="M597" s="71"/>
      <c r="O597" s="1617" t="s">
        <v>229</v>
      </c>
      <c r="P597" s="2184">
        <f>P601+P600+P599+P598</f>
        <v>1.43598</v>
      </c>
      <c r="Q597" s="1576">
        <f>Q598+Q599+Q600+Q601</f>
        <v>1.43598</v>
      </c>
      <c r="R597" s="1911">
        <f>R598+R599+R600+R601</f>
        <v>1.3140000000000001</v>
      </c>
      <c r="S597" s="1576">
        <f>S598+S599+S600+S601</f>
        <v>1.3140000000000001</v>
      </c>
      <c r="T597" s="1747">
        <f>T598+T599+T600+T601</f>
        <v>1.008</v>
      </c>
      <c r="U597" s="1576">
        <f>U598+U599+U600+U601</f>
        <v>1.008</v>
      </c>
      <c r="V597" s="1912">
        <f>P597+R597</f>
        <v>2.7499799999999999</v>
      </c>
      <c r="W597" s="1588">
        <f t="shared" si="469"/>
        <v>2.7499799999999999</v>
      </c>
      <c r="X597" s="1979">
        <f>R597+T597</f>
        <v>2.3220000000000001</v>
      </c>
      <c r="Y597" s="1679">
        <f t="shared" si="461"/>
        <v>2.3220000000000001</v>
      </c>
      <c r="AA597" s="1695" t="s">
        <v>208</v>
      </c>
      <c r="AB597" s="1784"/>
      <c r="AC597" s="1696"/>
      <c r="AD597" s="1784"/>
      <c r="AE597" s="1697"/>
      <c r="AF597" s="1784"/>
      <c r="AG597" s="1758"/>
      <c r="AH597" s="1788">
        <f t="shared" si="488"/>
        <v>0</v>
      </c>
      <c r="AI597" s="1772">
        <f>AC597+AE597</f>
        <v>0</v>
      </c>
      <c r="AJ597" s="1788">
        <f t="shared" si="483"/>
        <v>0</v>
      </c>
      <c r="AK597" s="1603">
        <f t="shared" si="497"/>
        <v>0</v>
      </c>
      <c r="AM597" s="1948" t="s">
        <v>229</v>
      </c>
      <c r="AN597" s="2090">
        <f>P597+R597+T597</f>
        <v>3.7579799999999999</v>
      </c>
      <c r="AO597" s="1047">
        <f t="shared" si="465"/>
        <v>3.7579799999999999</v>
      </c>
      <c r="AP597" s="2129" t="s">
        <v>208</v>
      </c>
      <c r="AQ597" s="2122">
        <f t="shared" ref="AQ597:AQ604" si="504">AB597+AD597+AF597</f>
        <v>0</v>
      </c>
      <c r="AR597" s="2123">
        <f t="shared" ref="AR597:AR604" si="505">AC597+AE597+AG597</f>
        <v>0</v>
      </c>
    </row>
    <row r="598" spans="2:44" ht="15.75" thickBot="1">
      <c r="B598" s="61"/>
      <c r="C598" s="999"/>
      <c r="D598" s="71"/>
      <c r="E598" s="263" t="s">
        <v>118</v>
      </c>
      <c r="F598" s="97" t="s">
        <v>119</v>
      </c>
      <c r="G598" s="406" t="s">
        <v>120</v>
      </c>
      <c r="H598" s="281" t="s">
        <v>118</v>
      </c>
      <c r="I598" s="97" t="s">
        <v>119</v>
      </c>
      <c r="J598" s="292" t="s">
        <v>120</v>
      </c>
      <c r="K598" s="61"/>
      <c r="M598" s="71"/>
      <c r="O598" s="1618" t="s">
        <v>222</v>
      </c>
      <c r="P598" s="1971">
        <f>I577</f>
        <v>5.9800000000000001E-3</v>
      </c>
      <c r="Q598" s="1572">
        <f>J577</f>
        <v>5.9800000000000001E-3</v>
      </c>
      <c r="R598" s="1971">
        <f>F593+I595</f>
        <v>1.4E-2</v>
      </c>
      <c r="S598" s="1572">
        <f>G593+J595</f>
        <v>1.4E-2</v>
      </c>
      <c r="T598" s="1971">
        <f>I605</f>
        <v>8.0000000000000002E-3</v>
      </c>
      <c r="U598" s="1572">
        <f>J605</f>
        <v>8.0000000000000002E-3</v>
      </c>
      <c r="V598" s="1775">
        <f>P598+R598</f>
        <v>1.9980000000000001E-2</v>
      </c>
      <c r="W598" s="1572"/>
      <c r="X598" s="1725">
        <f t="shared" si="460"/>
        <v>2.1999999999999999E-2</v>
      </c>
      <c r="Y598" s="1607"/>
      <c r="AA598" s="1663" t="s">
        <v>81</v>
      </c>
      <c r="AB598" s="1782"/>
      <c r="AC598" s="1599"/>
      <c r="AD598" s="1782"/>
      <c r="AE598" s="1670"/>
      <c r="AF598" s="1782"/>
      <c r="AG598" s="1682"/>
      <c r="AH598" s="1789">
        <f t="shared" si="488"/>
        <v>0</v>
      </c>
      <c r="AI598" s="1772">
        <f t="shared" ref="AI598:AI608" si="506">AC598+AE598</f>
        <v>0</v>
      </c>
      <c r="AJ598" s="1789">
        <f t="shared" si="483"/>
        <v>0</v>
      </c>
      <c r="AK598" s="1645">
        <f t="shared" si="497"/>
        <v>0</v>
      </c>
      <c r="AM598" s="1949" t="s">
        <v>222</v>
      </c>
      <c r="AN598" s="2076">
        <f t="shared" ref="AN598:AN601" si="507">P598+R598+T598</f>
        <v>2.7980000000000001E-2</v>
      </c>
      <c r="AO598" s="1594">
        <f t="shared" ref="AO598:AO601" si="508">Q598+S598+U598</f>
        <v>2.7980000000000001E-2</v>
      </c>
      <c r="AP598" s="1663" t="s">
        <v>81</v>
      </c>
      <c r="AQ598" s="1840">
        <f t="shared" si="504"/>
        <v>0</v>
      </c>
      <c r="AR598" s="1667">
        <f t="shared" si="505"/>
        <v>0</v>
      </c>
    </row>
    <row r="599" spans="2:44" ht="15.75" thickBot="1">
      <c r="B599" s="1139" t="s">
        <v>583</v>
      </c>
      <c r="C599" s="1197"/>
      <c r="D599" s="1137">
        <f>D584+D585+D588+D589+D591+D592+D593+90+20</f>
        <v>1020</v>
      </c>
      <c r="E599" s="324" t="s">
        <v>160</v>
      </c>
      <c r="F599" s="899">
        <v>67.8</v>
      </c>
      <c r="G599" s="408">
        <v>60</v>
      </c>
      <c r="H599" s="480" t="s">
        <v>228</v>
      </c>
      <c r="I599" s="889">
        <v>124.85</v>
      </c>
      <c r="J599" s="762">
        <v>110</v>
      </c>
      <c r="K599" s="57"/>
      <c r="L599" s="29"/>
      <c r="M599" s="74"/>
      <c r="O599" s="1619" t="s">
        <v>679</v>
      </c>
      <c r="P599" s="1972">
        <f>J579</f>
        <v>1.43</v>
      </c>
      <c r="Q599" s="1573">
        <f>J579</f>
        <v>1.43</v>
      </c>
      <c r="R599" s="1972">
        <f>G595</f>
        <v>1.3</v>
      </c>
      <c r="S599" s="1573">
        <f>G595</f>
        <v>1.3</v>
      </c>
      <c r="T599" s="1972">
        <f>G611</f>
        <v>1</v>
      </c>
      <c r="U599" s="1573">
        <f>G611</f>
        <v>1</v>
      </c>
      <c r="V599" s="1775">
        <f t="shared" ref="V599:V600" si="509">P599+R599</f>
        <v>2.73</v>
      </c>
      <c r="W599" s="1573"/>
      <c r="X599" s="1725">
        <f t="shared" si="460"/>
        <v>2.2999999999999998</v>
      </c>
      <c r="Y599" s="1608"/>
      <c r="AA599" s="1663" t="s">
        <v>83</v>
      </c>
      <c r="AB599" s="1785"/>
      <c r="AC599" s="1639"/>
      <c r="AD599" s="1785"/>
      <c r="AE599" s="1671"/>
      <c r="AF599" s="1785">
        <f>F605</f>
        <v>13.59</v>
      </c>
      <c r="AG599" s="1759">
        <f>G605</f>
        <v>13.59</v>
      </c>
      <c r="AH599" s="1789">
        <f t="shared" si="488"/>
        <v>0</v>
      </c>
      <c r="AI599" s="1772">
        <f t="shared" si="506"/>
        <v>0</v>
      </c>
      <c r="AJ599" s="1789">
        <f t="shared" si="483"/>
        <v>13.59</v>
      </c>
      <c r="AK599" s="1645">
        <f t="shared" si="497"/>
        <v>13.59</v>
      </c>
      <c r="AM599" s="1950" t="s">
        <v>679</v>
      </c>
      <c r="AN599" s="2076">
        <f t="shared" si="507"/>
        <v>3.73</v>
      </c>
      <c r="AO599" s="1594">
        <f t="shared" si="508"/>
        <v>3.73</v>
      </c>
      <c r="AP599" s="1663" t="s">
        <v>83</v>
      </c>
      <c r="AQ599" s="1840">
        <f t="shared" si="504"/>
        <v>13.59</v>
      </c>
      <c r="AR599" s="1667">
        <f t="shared" si="505"/>
        <v>13.59</v>
      </c>
    </row>
    <row r="600" spans="2:44" ht="15.75" thickBot="1">
      <c r="B600" s="403"/>
      <c r="C600" s="162" t="s">
        <v>324</v>
      </c>
      <c r="D600" s="752"/>
      <c r="E600" s="1232" t="s">
        <v>369</v>
      </c>
      <c r="F600" s="880"/>
      <c r="G600" s="312"/>
      <c r="H600" s="312"/>
      <c r="I600" s="312" t="s">
        <v>455</v>
      </c>
      <c r="J600" s="50"/>
      <c r="K600" s="473" t="s">
        <v>453</v>
      </c>
      <c r="L600" s="969"/>
      <c r="M600" s="50"/>
      <c r="O600" s="1620" t="s">
        <v>449</v>
      </c>
      <c r="P600" s="1982"/>
      <c r="Q600" s="1574"/>
      <c r="R600" s="1730"/>
      <c r="S600" s="1574"/>
      <c r="T600" s="1982"/>
      <c r="U600" s="1574"/>
      <c r="V600" s="1775">
        <f t="shared" si="509"/>
        <v>0</v>
      </c>
      <c r="W600" s="1574"/>
      <c r="X600" s="1725">
        <f t="shared" si="460"/>
        <v>0</v>
      </c>
      <c r="Y600" s="1609"/>
      <c r="AA600" s="1663" t="s">
        <v>84</v>
      </c>
      <c r="AB600" s="1782"/>
      <c r="AC600" s="1639"/>
      <c r="AD600" s="1782"/>
      <c r="AE600" s="1671"/>
      <c r="AF600" s="1782"/>
      <c r="AG600" s="1759"/>
      <c r="AH600" s="1789">
        <f t="shared" si="488"/>
        <v>0</v>
      </c>
      <c r="AI600" s="1772">
        <f t="shared" si="506"/>
        <v>0</v>
      </c>
      <c r="AJ600" s="1789">
        <f t="shared" si="483"/>
        <v>0</v>
      </c>
      <c r="AK600" s="1645">
        <f t="shared" si="497"/>
        <v>0</v>
      </c>
      <c r="AM600" s="1951" t="s">
        <v>449</v>
      </c>
      <c r="AN600" s="2076">
        <f t="shared" si="507"/>
        <v>0</v>
      </c>
      <c r="AO600" s="1594">
        <f t="shared" si="508"/>
        <v>0</v>
      </c>
      <c r="AP600" s="1663" t="s">
        <v>84</v>
      </c>
      <c r="AQ600" s="1840">
        <f t="shared" si="504"/>
        <v>0</v>
      </c>
      <c r="AR600" s="1667">
        <f t="shared" si="505"/>
        <v>0</v>
      </c>
    </row>
    <row r="601" spans="2:44" ht="15.75" thickBot="1">
      <c r="B601" s="156" t="s">
        <v>490</v>
      </c>
      <c r="C601" s="283" t="s">
        <v>823</v>
      </c>
      <c r="D601" s="166">
        <v>200</v>
      </c>
      <c r="E601" s="313" t="s">
        <v>118</v>
      </c>
      <c r="F601" s="97" t="s">
        <v>119</v>
      </c>
      <c r="G601" s="135" t="s">
        <v>120</v>
      </c>
      <c r="H601" s="313" t="s">
        <v>118</v>
      </c>
      <c r="I601" s="102" t="s">
        <v>119</v>
      </c>
      <c r="J601" s="133" t="s">
        <v>120</v>
      </c>
      <c r="K601" s="317" t="s">
        <v>118</v>
      </c>
      <c r="L601" s="103" t="s">
        <v>119</v>
      </c>
      <c r="M601" s="909" t="s">
        <v>120</v>
      </c>
      <c r="O601" s="1942" t="s">
        <v>167</v>
      </c>
      <c r="P601" s="1983"/>
      <c r="Q601" s="1574"/>
      <c r="R601" s="1725"/>
      <c r="S601" s="1574"/>
      <c r="T601" s="1983"/>
      <c r="U601" s="1574"/>
      <c r="V601" s="1976">
        <f>P601+R601</f>
        <v>0</v>
      </c>
      <c r="W601" s="1574"/>
      <c r="X601" s="1976">
        <f t="shared" si="460"/>
        <v>0</v>
      </c>
      <c r="Y601" s="1609"/>
      <c r="AA601" s="1663" t="s">
        <v>85</v>
      </c>
      <c r="AB601" s="1782"/>
      <c r="AC601" s="1599"/>
      <c r="AD601" s="1782"/>
      <c r="AE601" s="1670"/>
      <c r="AF601" s="1782"/>
      <c r="AG601" s="1682"/>
      <c r="AH601" s="1789">
        <f t="shared" si="488"/>
        <v>0</v>
      </c>
      <c r="AI601" s="1772">
        <f t="shared" si="506"/>
        <v>0</v>
      </c>
      <c r="AJ601" s="1789">
        <f t="shared" si="483"/>
        <v>0</v>
      </c>
      <c r="AK601" s="1645">
        <f t="shared" si="497"/>
        <v>0</v>
      </c>
      <c r="AM601" s="1953" t="s">
        <v>167</v>
      </c>
      <c r="AN601" s="2076">
        <f t="shared" si="507"/>
        <v>0</v>
      </c>
      <c r="AO601" s="1594">
        <f t="shared" si="508"/>
        <v>0</v>
      </c>
      <c r="AP601" s="1663" t="s">
        <v>85</v>
      </c>
      <c r="AQ601" s="1840">
        <f t="shared" si="504"/>
        <v>0</v>
      </c>
      <c r="AR601" s="1667">
        <f t="shared" si="505"/>
        <v>0</v>
      </c>
    </row>
    <row r="602" spans="2:44" ht="15.75" thickBot="1">
      <c r="B602" s="1525" t="s">
        <v>824</v>
      </c>
      <c r="C602" s="1201"/>
      <c r="D602" s="341"/>
      <c r="E602" s="98" t="s">
        <v>462</v>
      </c>
      <c r="F602" s="2550">
        <v>10.6</v>
      </c>
      <c r="G602" s="883">
        <v>8.08</v>
      </c>
      <c r="H602" s="216" t="s">
        <v>93</v>
      </c>
      <c r="I602" s="123">
        <v>42</v>
      </c>
      <c r="J602" s="309">
        <v>42</v>
      </c>
      <c r="K602" s="100" t="s">
        <v>107</v>
      </c>
      <c r="L602" s="123">
        <v>1</v>
      </c>
      <c r="M602" s="131">
        <v>1</v>
      </c>
      <c r="O602" s="195" t="s">
        <v>116</v>
      </c>
      <c r="P602" s="2060"/>
      <c r="Q602" s="2022"/>
      <c r="R602" s="1610">
        <f>I589</f>
        <v>9</v>
      </c>
      <c r="S602" s="2022">
        <f>J589</f>
        <v>9</v>
      </c>
      <c r="T602" s="2172">
        <f>F606</f>
        <v>5.2</v>
      </c>
      <c r="U602" s="2022">
        <f>G606</f>
        <v>5.2</v>
      </c>
      <c r="V602" s="1837">
        <f>P602+R602</f>
        <v>9</v>
      </c>
      <c r="W602" s="2022"/>
      <c r="X602" s="1837">
        <f>R602+T602</f>
        <v>14.2</v>
      </c>
      <c r="Y602" s="1611"/>
      <c r="AA602" s="1663" t="s">
        <v>87</v>
      </c>
      <c r="AB602" s="2092"/>
      <c r="AC602" s="1640"/>
      <c r="AD602" s="1782">
        <f>L585</f>
        <v>43.5</v>
      </c>
      <c r="AE602" s="1670">
        <f>M585</f>
        <v>43.5</v>
      </c>
      <c r="AF602" s="1782"/>
      <c r="AG602" s="1682"/>
      <c r="AH602" s="1789">
        <f t="shared" si="488"/>
        <v>43.5</v>
      </c>
      <c r="AI602" s="1772">
        <f t="shared" si="506"/>
        <v>43.5</v>
      </c>
      <c r="AJ602" s="1789">
        <f t="shared" si="483"/>
        <v>43.5</v>
      </c>
      <c r="AK602" s="1645">
        <f t="shared" si="497"/>
        <v>43.5</v>
      </c>
      <c r="AM602" s="573" t="s">
        <v>116</v>
      </c>
      <c r="AN602" s="2078">
        <f>P602+R602+T602</f>
        <v>14.2</v>
      </c>
      <c r="AO602" s="857">
        <f>Q602+S602+U602</f>
        <v>14.2</v>
      </c>
      <c r="AP602" s="1663" t="s">
        <v>87</v>
      </c>
      <c r="AQ602" s="1840">
        <f t="shared" si="504"/>
        <v>43.5</v>
      </c>
      <c r="AR602" s="1667">
        <f t="shared" si="505"/>
        <v>43.5</v>
      </c>
    </row>
    <row r="603" spans="2:44">
      <c r="B603" s="407" t="s">
        <v>998</v>
      </c>
      <c r="C603" s="283" t="s">
        <v>369</v>
      </c>
      <c r="D603" s="44" t="s">
        <v>683</v>
      </c>
      <c r="E603" s="185" t="s">
        <v>463</v>
      </c>
      <c r="F603" s="233">
        <v>178.77</v>
      </c>
      <c r="G603" s="1533">
        <v>142.75299999999999</v>
      </c>
      <c r="H603" s="241" t="s">
        <v>95</v>
      </c>
      <c r="I603" s="256">
        <v>1</v>
      </c>
      <c r="J603" s="257">
        <v>1</v>
      </c>
      <c r="K603" s="249" t="s">
        <v>94</v>
      </c>
      <c r="L603" s="251">
        <v>50</v>
      </c>
      <c r="M603" s="255">
        <v>50</v>
      </c>
      <c r="O603" s="155"/>
      <c r="Q603" s="1570"/>
      <c r="S603" s="1570"/>
      <c r="U603" s="1570"/>
      <c r="W603" s="1570"/>
      <c r="Y603" s="1570"/>
      <c r="AA603" s="1663" t="s">
        <v>88</v>
      </c>
      <c r="AB603" s="1782"/>
      <c r="AC603" s="1599"/>
      <c r="AD603" s="1782"/>
      <c r="AE603" s="1670"/>
      <c r="AF603" s="1782"/>
      <c r="AG603" s="1682"/>
      <c r="AH603" s="1789">
        <f t="shared" si="488"/>
        <v>0</v>
      </c>
      <c r="AI603" s="1772">
        <f t="shared" si="506"/>
        <v>0</v>
      </c>
      <c r="AJ603" s="1789">
        <f t="shared" si="483"/>
        <v>0</v>
      </c>
      <c r="AK603" s="1645">
        <f t="shared" si="497"/>
        <v>0</v>
      </c>
      <c r="AP603" s="1663" t="s">
        <v>88</v>
      </c>
      <c r="AQ603" s="1840">
        <f t="shared" si="504"/>
        <v>0</v>
      </c>
      <c r="AR603" s="1667">
        <f t="shared" si="505"/>
        <v>0</v>
      </c>
    </row>
    <row r="604" spans="2:44" ht="15.75" thickBot="1">
      <c r="B604" s="246" t="s">
        <v>10</v>
      </c>
      <c r="C604" s="241" t="s">
        <v>792</v>
      </c>
      <c r="D604" s="284">
        <v>20</v>
      </c>
      <c r="E604" s="249" t="s">
        <v>95</v>
      </c>
      <c r="F604" s="398">
        <v>7</v>
      </c>
      <c r="G604" s="1078">
        <v>7</v>
      </c>
      <c r="H604" s="167" t="s">
        <v>92</v>
      </c>
      <c r="I604" s="233">
        <v>4.95</v>
      </c>
      <c r="J604" s="235">
        <v>4.95</v>
      </c>
      <c r="K604" s="186" t="s">
        <v>57</v>
      </c>
      <c r="L604" s="254">
        <v>0.5</v>
      </c>
      <c r="M604" s="293">
        <v>0.5</v>
      </c>
      <c r="Q604" s="1570"/>
      <c r="S604" s="1570"/>
      <c r="U604" s="1570"/>
      <c r="W604" s="1570"/>
      <c r="Y604" s="1570"/>
      <c r="AA604" s="1685" t="s">
        <v>90</v>
      </c>
      <c r="AB604" s="1927"/>
      <c r="AC604" s="1907"/>
      <c r="AD604" s="1783"/>
      <c r="AE604" s="1687"/>
      <c r="AF604" s="1783"/>
      <c r="AG604" s="1760"/>
      <c r="AH604" s="1790">
        <f t="shared" si="488"/>
        <v>0</v>
      </c>
      <c r="AI604" s="1772">
        <f t="shared" si="506"/>
        <v>0</v>
      </c>
      <c r="AJ604" s="1790">
        <f t="shared" si="483"/>
        <v>0</v>
      </c>
      <c r="AK604" s="1805">
        <f t="shared" si="497"/>
        <v>0</v>
      </c>
      <c r="AP604" s="1685" t="s">
        <v>90</v>
      </c>
      <c r="AQ604" s="1840">
        <f t="shared" si="504"/>
        <v>0</v>
      </c>
      <c r="AR604" s="1667">
        <f t="shared" si="505"/>
        <v>0</v>
      </c>
    </row>
    <row r="605" spans="2:44" ht="15.75" thickBot="1">
      <c r="B605" s="61"/>
      <c r="C605" s="999"/>
      <c r="E605" s="415" t="s">
        <v>451</v>
      </c>
      <c r="F605" s="271">
        <v>13.59</v>
      </c>
      <c r="G605" s="275">
        <v>13.59</v>
      </c>
      <c r="H605" s="492" t="s">
        <v>98</v>
      </c>
      <c r="I605" s="233">
        <v>8.0000000000000002E-3</v>
      </c>
      <c r="J605" s="247">
        <v>8.0000000000000002E-3</v>
      </c>
      <c r="K605" s="249" t="s">
        <v>94</v>
      </c>
      <c r="L605" s="251">
        <v>152</v>
      </c>
      <c r="M605" s="255">
        <v>152</v>
      </c>
      <c r="Q605" s="1570"/>
      <c r="S605" s="1570"/>
      <c r="U605" s="1570"/>
      <c r="W605" s="1570"/>
      <c r="Y605" s="1570"/>
      <c r="AA605" s="1688" t="s">
        <v>877</v>
      </c>
      <c r="AB605" s="1786">
        <f t="shared" ref="AB605" si="510">SUM(AB597:AB604)</f>
        <v>0</v>
      </c>
      <c r="AC605" s="1689">
        <f t="shared" ref="AC605" si="511">SUM(AC597:AC604)</f>
        <v>0</v>
      </c>
      <c r="AD605" s="1906">
        <f t="shared" ref="AD605" si="512">SUM(AD597:AD604)</f>
        <v>43.5</v>
      </c>
      <c r="AE605" s="1690">
        <f t="shared" ref="AE605" si="513">SUM(AE597:AE604)</f>
        <v>43.5</v>
      </c>
      <c r="AF605" s="1786">
        <f t="shared" ref="AF605" si="514">SUM(AF597:AF604)</f>
        <v>13.59</v>
      </c>
      <c r="AG605" s="1761">
        <f t="shared" ref="AG605" si="515">SUM(AG597:AG604)</f>
        <v>13.59</v>
      </c>
      <c r="AH605" s="1797">
        <f t="shared" si="488"/>
        <v>43.5</v>
      </c>
      <c r="AI605" s="1816">
        <f t="shared" si="506"/>
        <v>43.5</v>
      </c>
      <c r="AJ605" s="1797">
        <f t="shared" si="483"/>
        <v>57.09</v>
      </c>
      <c r="AK605" s="1691">
        <f t="shared" si="497"/>
        <v>57.09</v>
      </c>
      <c r="AP605" s="1688" t="s">
        <v>877</v>
      </c>
      <c r="AQ605" s="2130">
        <f>AB605+AD605+AF605</f>
        <v>57.09</v>
      </c>
      <c r="AR605" s="1672">
        <f>AC605+AE605+AG605</f>
        <v>57.09</v>
      </c>
    </row>
    <row r="606" spans="2:44">
      <c r="B606" s="61"/>
      <c r="C606" s="999"/>
      <c r="E606" s="185" t="s">
        <v>469</v>
      </c>
      <c r="F606" s="233">
        <v>5.2</v>
      </c>
      <c r="G606" s="275">
        <v>5.2</v>
      </c>
      <c r="H606" s="241" t="s">
        <v>97</v>
      </c>
      <c r="I606" s="233">
        <v>0.45</v>
      </c>
      <c r="J606" s="247">
        <v>0.45</v>
      </c>
      <c r="K606" s="249" t="s">
        <v>454</v>
      </c>
      <c r="L606" s="254">
        <v>33.75</v>
      </c>
      <c r="M606" s="2380">
        <v>30.5</v>
      </c>
      <c r="Q606" s="1570"/>
      <c r="S606" s="1570"/>
      <c r="U606" s="1570"/>
      <c r="W606" s="1570"/>
      <c r="Y606" s="1570"/>
      <c r="AA606" s="2062" t="s">
        <v>93</v>
      </c>
      <c r="AB606" s="1784"/>
      <c r="AC606" s="2064"/>
      <c r="AD606" s="1788"/>
      <c r="AE606" s="2067"/>
      <c r="AF606" s="1784"/>
      <c r="AG606" s="2064"/>
      <c r="AH606" s="1788">
        <f t="shared" si="488"/>
        <v>0</v>
      </c>
      <c r="AI606" s="2069">
        <f t="shared" si="506"/>
        <v>0</v>
      </c>
      <c r="AJ606" s="1788">
        <f t="shared" si="483"/>
        <v>0</v>
      </c>
      <c r="AK606" s="1709">
        <f t="shared" si="497"/>
        <v>0</v>
      </c>
      <c r="AP606" s="2062" t="s">
        <v>93</v>
      </c>
      <c r="AQ606" s="2117">
        <f t="shared" ref="AQ606:AQ607" si="516">AB606+AD606+AF606</f>
        <v>0</v>
      </c>
      <c r="AR606" s="1708">
        <f t="shared" ref="AR606:AR607" si="517">AC606+AE606+AG606</f>
        <v>0</v>
      </c>
    </row>
    <row r="607" spans="2:44" ht="15.75" thickBot="1">
      <c r="B607" s="61"/>
      <c r="C607" s="999"/>
      <c r="E607" s="185" t="s">
        <v>225</v>
      </c>
      <c r="F607" s="1079" t="s">
        <v>994</v>
      </c>
      <c r="G607" s="267">
        <v>2.94</v>
      </c>
      <c r="H607" s="1219" t="s">
        <v>94</v>
      </c>
      <c r="I607" s="233">
        <v>6.95</v>
      </c>
      <c r="J607" s="247">
        <v>6.95</v>
      </c>
      <c r="K607" s="513"/>
      <c r="L607" s="184"/>
      <c r="M607" s="165"/>
      <c r="Q607" s="1570"/>
      <c r="S607" s="1570"/>
      <c r="U607" s="1570"/>
      <c r="W607" s="1570"/>
      <c r="Y607" s="1570"/>
      <c r="AA607" s="2063" t="s">
        <v>908</v>
      </c>
      <c r="AB607" s="1783"/>
      <c r="AC607" s="2065"/>
      <c r="AD607" s="1790"/>
      <c r="AE607" s="2068"/>
      <c r="AF607" s="1783"/>
      <c r="AG607" s="2065"/>
      <c r="AH607" s="1790">
        <f t="shared" si="488"/>
        <v>0</v>
      </c>
      <c r="AI607" s="1767">
        <f t="shared" si="506"/>
        <v>0</v>
      </c>
      <c r="AJ607" s="1790">
        <f t="shared" si="483"/>
        <v>0</v>
      </c>
      <c r="AK607" s="1701">
        <f t="shared" si="497"/>
        <v>0</v>
      </c>
      <c r="AP607" s="2063" t="s">
        <v>908</v>
      </c>
      <c r="AQ607" s="2074">
        <f t="shared" si="516"/>
        <v>0</v>
      </c>
      <c r="AR607" s="1700">
        <f t="shared" si="517"/>
        <v>0</v>
      </c>
    </row>
    <row r="608" spans="2:44" ht="15.75" thickBot="1">
      <c r="B608" s="61"/>
      <c r="C608" s="999"/>
      <c r="E608" s="249" t="s">
        <v>108</v>
      </c>
      <c r="F608" s="251">
        <v>0.55000000000000004</v>
      </c>
      <c r="G608" s="975">
        <v>0.55000000000000004</v>
      </c>
      <c r="H608" s="337"/>
      <c r="J608" s="71"/>
      <c r="K608" s="61"/>
      <c r="M608" s="71"/>
      <c r="Q608" s="1570"/>
      <c r="S608" s="1570"/>
      <c r="U608" s="1570"/>
      <c r="W608" s="1570"/>
      <c r="Y608" s="1570"/>
      <c r="AA608" s="1720" t="s">
        <v>909</v>
      </c>
      <c r="AB608" s="2070">
        <f t="shared" ref="AB608" si="518">SUM(AB606:AB607)</f>
        <v>0</v>
      </c>
      <c r="AC608" s="2066">
        <f t="shared" ref="AC608" si="519">SUM(AC606:AC607)</f>
        <v>0</v>
      </c>
      <c r="AD608" s="2071">
        <f t="shared" ref="AD608" si="520">SUM(AD606:AD607)</f>
        <v>0</v>
      </c>
      <c r="AE608" s="1705">
        <f t="shared" ref="AE608" si="521">SUM(AE606:AE607)</f>
        <v>0</v>
      </c>
      <c r="AF608" s="2070">
        <f t="shared" ref="AF608" si="522">SUM(AF606:AF607)</f>
        <v>0</v>
      </c>
      <c r="AG608" s="2072">
        <f t="shared" ref="AG608" si="523">SUM(AG606:AG607)</f>
        <v>0</v>
      </c>
      <c r="AH608" s="1795">
        <f t="shared" si="488"/>
        <v>0</v>
      </c>
      <c r="AI608" s="1768">
        <f t="shared" si="506"/>
        <v>0</v>
      </c>
      <c r="AJ608" s="1795">
        <f t="shared" si="483"/>
        <v>0</v>
      </c>
      <c r="AK608" s="1706">
        <f t="shared" si="497"/>
        <v>0</v>
      </c>
      <c r="AP608" s="1720" t="s">
        <v>909</v>
      </c>
      <c r="AQ608" s="2075">
        <f>AB608+AD608+AF608</f>
        <v>0</v>
      </c>
      <c r="AR608" s="1705">
        <f>AC608+AE608+AG608</f>
        <v>0</v>
      </c>
    </row>
    <row r="609" spans="2:48">
      <c r="B609" s="61"/>
      <c r="C609" s="999"/>
      <c r="E609" s="185" t="s">
        <v>93</v>
      </c>
      <c r="F609" s="233">
        <v>2</v>
      </c>
      <c r="G609" s="411">
        <v>2</v>
      </c>
      <c r="H609" s="983"/>
      <c r="J609" s="71"/>
      <c r="K609" s="61"/>
      <c r="M609" s="71"/>
      <c r="N609" s="654"/>
      <c r="Q609" s="1570"/>
      <c r="S609" s="1570"/>
      <c r="U609" s="1570"/>
      <c r="W609" s="1570"/>
      <c r="Y609" s="1570"/>
      <c r="AB609" s="62"/>
      <c r="AD609" s="62"/>
      <c r="AE609" s="1570"/>
      <c r="AF609" s="786"/>
      <c r="AG609" s="1570"/>
      <c r="AH609" s="62"/>
      <c r="AI609" s="282"/>
      <c r="AJ609" s="62"/>
      <c r="AK609" s="1570"/>
    </row>
    <row r="610" spans="2:48">
      <c r="B610" s="61"/>
      <c r="C610" s="999"/>
      <c r="E610" s="249" t="s">
        <v>97</v>
      </c>
      <c r="F610" s="254">
        <v>0.3</v>
      </c>
      <c r="G610" s="481">
        <v>0.3</v>
      </c>
      <c r="H610" s="983"/>
      <c r="J610" s="71"/>
      <c r="K610" s="61"/>
      <c r="M610" s="71"/>
      <c r="Q610" s="1570"/>
      <c r="S610" s="1570"/>
      <c r="U610" s="1570"/>
      <c r="W610" s="1570"/>
      <c r="Y610" s="1570"/>
      <c r="AB610" s="62"/>
      <c r="AD610" s="62"/>
      <c r="AE610" s="1570"/>
      <c r="AF610" s="786"/>
      <c r="AG610" s="1570"/>
      <c r="AH610" s="62"/>
      <c r="AI610" s="282"/>
      <c r="AJ610" s="62"/>
      <c r="AK610" s="1570"/>
    </row>
    <row r="611" spans="2:48" ht="15.75" thickBot="1">
      <c r="B611" s="1139" t="s">
        <v>584</v>
      </c>
      <c r="C611" s="1136"/>
      <c r="D611" s="1137">
        <f>D601+D604+135+45</f>
        <v>400</v>
      </c>
      <c r="E611" s="2179" t="s">
        <v>634</v>
      </c>
      <c r="F611" s="277"/>
      <c r="G611" s="998">
        <v>1</v>
      </c>
      <c r="H611" s="423"/>
      <c r="I611" s="29"/>
      <c r="J611" s="74"/>
      <c r="K611" s="57"/>
      <c r="L611" s="29"/>
      <c r="M611" s="74"/>
      <c r="Q611" s="1570"/>
      <c r="S611" s="1570"/>
      <c r="U611" s="1570"/>
      <c r="W611" s="1570"/>
      <c r="Y611" s="1570"/>
      <c r="AB611" s="62"/>
      <c r="AD611" s="62"/>
      <c r="AE611" s="1570"/>
      <c r="AF611" s="786"/>
      <c r="AG611" s="1570"/>
      <c r="AH611" s="62"/>
      <c r="AI611" s="282"/>
      <c r="AJ611" s="62"/>
      <c r="AK611" s="1570"/>
      <c r="AV611" s="48"/>
    </row>
    <row r="612" spans="2:48">
      <c r="Q612" s="1570"/>
      <c r="S612" s="1570"/>
      <c r="U612" s="1570"/>
      <c r="W612" s="1570"/>
      <c r="Y612" s="1570"/>
      <c r="AB612" s="62"/>
      <c r="AD612" s="62"/>
      <c r="AE612" s="1570"/>
      <c r="AF612" s="786"/>
      <c r="AG612" s="1570"/>
      <c r="AH612" s="62"/>
      <c r="AI612" s="282"/>
      <c r="AJ612" s="62"/>
      <c r="AK612" s="1570"/>
    </row>
    <row r="613" spans="2:48">
      <c r="H613" s="207"/>
      <c r="Q613" s="1570"/>
      <c r="S613" s="1570"/>
      <c r="U613" s="1570"/>
      <c r="W613" s="1570"/>
      <c r="Y613" s="1570"/>
      <c r="AB613" s="62"/>
      <c r="AD613" s="62"/>
      <c r="AE613" s="367"/>
      <c r="AF613" s="786"/>
      <c r="AG613" s="367"/>
      <c r="AH613" s="62"/>
      <c r="AI613" s="282"/>
      <c r="AJ613" s="62"/>
      <c r="AK613" s="1570"/>
    </row>
    <row r="614" spans="2:48">
      <c r="C614" s="171" t="s">
        <v>551</v>
      </c>
      <c r="G614" s="2"/>
      <c r="H614" s="2"/>
      <c r="I614" s="2"/>
      <c r="L614" s="2"/>
      <c r="Q614" s="1570"/>
      <c r="S614" s="1570"/>
      <c r="U614" s="1570"/>
      <c r="W614" s="1570"/>
      <c r="Y614" s="1570"/>
      <c r="AB614" s="62"/>
      <c r="AD614" s="62"/>
      <c r="AE614" s="1570"/>
      <c r="AF614" s="786"/>
      <c r="AG614" s="1570"/>
      <c r="AH614" s="62"/>
      <c r="AI614" s="282"/>
      <c r="AJ614" s="62"/>
      <c r="AK614" s="1570"/>
    </row>
    <row r="615" spans="2:48">
      <c r="C615"/>
      <c r="D615" s="94" t="s">
        <v>354</v>
      </c>
      <c r="F615" s="15"/>
      <c r="K615" s="87"/>
      <c r="Q615" s="1570"/>
      <c r="S615" s="1570"/>
      <c r="U615" s="1570"/>
      <c r="W615" s="1570"/>
      <c r="Y615" s="1570"/>
      <c r="AB615" s="62"/>
      <c r="AD615" s="62"/>
      <c r="AE615" s="1570"/>
      <c r="AF615" s="786"/>
      <c r="AG615" s="1570"/>
      <c r="AH615" s="62"/>
      <c r="AI615" s="282"/>
      <c r="AJ615" s="62"/>
      <c r="AK615" s="1570"/>
    </row>
    <row r="616" spans="2:48">
      <c r="Q616" s="1570"/>
      <c r="S616" s="1570"/>
      <c r="U616" s="1570"/>
      <c r="W616" s="1570"/>
      <c r="Y616" s="1570"/>
      <c r="AA616" t="s">
        <v>872</v>
      </c>
      <c r="AK616" s="1570"/>
    </row>
    <row r="617" spans="2:48">
      <c r="C617" s="1" t="s">
        <v>552</v>
      </c>
      <c r="Q617" s="1570"/>
      <c r="S617" s="1570"/>
      <c r="U617" s="1570"/>
      <c r="W617" s="1570"/>
      <c r="Y617" s="1570"/>
      <c r="AA617" s="94" t="str">
        <f>O620</f>
        <v>12- й   день</v>
      </c>
      <c r="AB617" s="201" t="s">
        <v>513</v>
      </c>
      <c r="AG617" s="129" t="s">
        <v>173</v>
      </c>
      <c r="AI617" s="45" t="s">
        <v>558</v>
      </c>
      <c r="AJ617" s="63"/>
      <c r="AK617" s="1570"/>
      <c r="AT617" s="142"/>
    </row>
    <row r="618" spans="2:48">
      <c r="C618" s="1" t="s">
        <v>553</v>
      </c>
      <c r="Q618" s="1570"/>
      <c r="S618" s="1570"/>
      <c r="U618" s="1570"/>
      <c r="W618" s="1570"/>
      <c r="Y618" s="1570"/>
      <c r="AC618" s="62"/>
      <c r="AE618" s="62"/>
      <c r="AF618" s="1570"/>
      <c r="AG618" s="786"/>
      <c r="AH618" s="1570"/>
      <c r="AI618" s="62"/>
      <c r="AJ618" s="282"/>
      <c r="AK618" s="1570"/>
      <c r="AT618" s="142"/>
    </row>
    <row r="619" spans="2:48" ht="15.75" thickBot="1">
      <c r="C619" s="1" t="s">
        <v>553</v>
      </c>
      <c r="E619" t="s">
        <v>554</v>
      </c>
      <c r="Q619" s="1570"/>
      <c r="S619" s="1570"/>
      <c r="U619" s="1570"/>
      <c r="W619" s="1570"/>
      <c r="Y619" s="1570"/>
      <c r="AB619" s="62"/>
      <c r="AD619" s="62"/>
      <c r="AE619" s="1570"/>
      <c r="AF619" s="786"/>
      <c r="AG619" s="1570"/>
      <c r="AH619" s="62"/>
      <c r="AI619" s="282"/>
      <c r="AJ619" s="62"/>
      <c r="AK619" s="1570"/>
    </row>
    <row r="620" spans="2:48" ht="16.5" thickBot="1">
      <c r="C620" s="1" t="s">
        <v>555</v>
      </c>
      <c r="E620" t="s">
        <v>556</v>
      </c>
      <c r="O620" s="1936" t="s">
        <v>921</v>
      </c>
      <c r="P620" s="516" t="s">
        <v>513</v>
      </c>
      <c r="Q620" s="38"/>
      <c r="R620" s="38"/>
      <c r="S620" s="38"/>
      <c r="T620" s="38"/>
      <c r="U620" s="1937" t="s">
        <v>173</v>
      </c>
      <c r="V620" s="38"/>
      <c r="W620" s="1938" t="s">
        <v>558</v>
      </c>
      <c r="X620" s="1939"/>
      <c r="Y620" s="1582"/>
      <c r="AB620" s="62"/>
      <c r="AD620" s="62"/>
      <c r="AE620" s="1570"/>
      <c r="AF620" s="786"/>
      <c r="AG620" s="1570"/>
      <c r="AH620" s="62"/>
      <c r="AI620" s="282"/>
      <c r="AJ620" s="62"/>
      <c r="AK620" s="1570"/>
      <c r="AM620" s="37"/>
      <c r="AN620" s="312" t="s">
        <v>893</v>
      </c>
      <c r="AO620" s="38"/>
      <c r="AP620" s="68"/>
      <c r="AQ620" s="38"/>
      <c r="AR620" s="50"/>
    </row>
    <row r="621" spans="2:48" ht="15.75" thickBot="1">
      <c r="C621" s="1" t="s">
        <v>555</v>
      </c>
      <c r="E621" t="s">
        <v>557</v>
      </c>
      <c r="O621" s="1612" t="s">
        <v>508</v>
      </c>
      <c r="P621" s="1676" t="s">
        <v>886</v>
      </c>
      <c r="Q621" s="1602"/>
      <c r="R621" s="1676" t="s">
        <v>885</v>
      </c>
      <c r="S621" s="1602"/>
      <c r="T621" s="1676" t="s">
        <v>887</v>
      </c>
      <c r="U621" s="1602"/>
      <c r="V621" s="1676" t="s">
        <v>889</v>
      </c>
      <c r="W621" s="1602"/>
      <c r="X621" s="1977" t="s">
        <v>891</v>
      </c>
      <c r="Y621" s="1978"/>
      <c r="AA621" s="1612" t="s">
        <v>508</v>
      </c>
      <c r="AB621" s="1676" t="s">
        <v>886</v>
      </c>
      <c r="AC621" s="1602"/>
      <c r="AD621" s="1676" t="s">
        <v>885</v>
      </c>
      <c r="AE621" s="1602"/>
      <c r="AF621" s="1676" t="s">
        <v>887</v>
      </c>
      <c r="AG621" s="1602"/>
      <c r="AH621" s="1676" t="s">
        <v>888</v>
      </c>
      <c r="AI621" s="1602"/>
      <c r="AJ621" s="1798" t="s">
        <v>890</v>
      </c>
      <c r="AK621" s="1602"/>
      <c r="AM621" s="1612" t="s">
        <v>508</v>
      </c>
      <c r="AN621" s="1862" t="s">
        <v>892</v>
      </c>
      <c r="AO621" s="1832"/>
      <c r="AP621" s="1612" t="s">
        <v>508</v>
      </c>
      <c r="AQ621" s="2001" t="s">
        <v>892</v>
      </c>
      <c r="AR621" s="1841"/>
    </row>
    <row r="622" spans="2:48" ht="15.75" thickBot="1">
      <c r="B622" s="25" t="s">
        <v>565</v>
      </c>
      <c r="C622" s="83" t="s">
        <v>3</v>
      </c>
      <c r="D622" s="84" t="s">
        <v>4</v>
      </c>
      <c r="E622" s="88" t="s">
        <v>69</v>
      </c>
      <c r="F622" s="68"/>
      <c r="G622" s="68"/>
      <c r="H622" s="68"/>
      <c r="I622" s="68"/>
      <c r="J622" s="68"/>
      <c r="K622" s="68"/>
      <c r="L622" s="68"/>
      <c r="M622" s="54"/>
      <c r="O622" s="871"/>
      <c r="P622" s="1621" t="s">
        <v>119</v>
      </c>
      <c r="Q622" s="1622" t="s">
        <v>120</v>
      </c>
      <c r="R622" s="1621" t="s">
        <v>119</v>
      </c>
      <c r="S622" s="1622" t="s">
        <v>120</v>
      </c>
      <c r="T622" s="1621" t="s">
        <v>119</v>
      </c>
      <c r="U622" s="1622" t="s">
        <v>120</v>
      </c>
      <c r="V622" s="1621" t="s">
        <v>119</v>
      </c>
      <c r="W622" s="1622" t="s">
        <v>120</v>
      </c>
      <c r="X622" s="1804" t="s">
        <v>119</v>
      </c>
      <c r="Y622" s="1822" t="s">
        <v>120</v>
      </c>
      <c r="AA622" s="2003" t="s">
        <v>67</v>
      </c>
      <c r="AB622" s="1621" t="s">
        <v>119</v>
      </c>
      <c r="AC622" s="1664" t="s">
        <v>120</v>
      </c>
      <c r="AD622" s="1637" t="s">
        <v>119</v>
      </c>
      <c r="AE622" s="1638" t="s">
        <v>120</v>
      </c>
      <c r="AF622" s="1637" t="s">
        <v>119</v>
      </c>
      <c r="AG622" s="1638" t="s">
        <v>120</v>
      </c>
      <c r="AH622" s="1621" t="s">
        <v>119</v>
      </c>
      <c r="AI622" s="1622" t="s">
        <v>120</v>
      </c>
      <c r="AJ622" s="1799" t="s">
        <v>119</v>
      </c>
      <c r="AK622" s="1622" t="s">
        <v>120</v>
      </c>
      <c r="AM622" s="871"/>
      <c r="AN622" s="1863" t="s">
        <v>119</v>
      </c>
      <c r="AO622" s="1833" t="s">
        <v>120</v>
      </c>
      <c r="AP622" s="2143" t="s">
        <v>67</v>
      </c>
      <c r="AQ622" s="2002" t="s">
        <v>119</v>
      </c>
      <c r="AR622" s="2144" t="s">
        <v>120</v>
      </c>
    </row>
    <row r="623" spans="2:48" ht="15.75" thickBot="1">
      <c r="B623" s="287" t="s">
        <v>566</v>
      </c>
      <c r="C623"/>
      <c r="D623" s="288" t="s">
        <v>71</v>
      </c>
      <c r="E623" s="61"/>
      <c r="K623" s="29"/>
      <c r="L623" s="29"/>
      <c r="M623" s="74"/>
      <c r="O623" s="1992" t="s">
        <v>165</v>
      </c>
      <c r="P623" s="1731">
        <f>D632</f>
        <v>20</v>
      </c>
      <c r="Q623" s="2018">
        <f>D632</f>
        <v>20</v>
      </c>
      <c r="R623" s="1731">
        <f>D645</f>
        <v>40</v>
      </c>
      <c r="S623" s="2018">
        <f>D645</f>
        <v>40</v>
      </c>
      <c r="T623" s="1731">
        <f>D660</f>
        <v>24</v>
      </c>
      <c r="U623" s="2018">
        <f>D660</f>
        <v>24</v>
      </c>
      <c r="V623" s="1731">
        <f>P623+R623</f>
        <v>60</v>
      </c>
      <c r="W623" s="2019">
        <f>Q623+S623</f>
        <v>60</v>
      </c>
      <c r="X623" s="1731">
        <f>R623+T623</f>
        <v>64</v>
      </c>
      <c r="Y623" s="1583">
        <f>S623+U623</f>
        <v>64</v>
      </c>
      <c r="AA623" s="178" t="s">
        <v>159</v>
      </c>
      <c r="AB623" s="2035"/>
      <c r="AC623" s="2163"/>
      <c r="AD623" s="1792">
        <f>I646</f>
        <v>6.4</v>
      </c>
      <c r="AE623" s="1598">
        <f>J646</f>
        <v>4</v>
      </c>
      <c r="AF623" s="1792"/>
      <c r="AG623" s="1681"/>
      <c r="AH623" s="1792">
        <f>AB623+AD623</f>
        <v>6.4</v>
      </c>
      <c r="AI623" s="1586">
        <f>AC623+AE623</f>
        <v>4</v>
      </c>
      <c r="AJ623" s="1792">
        <f>AD623+AF623</f>
        <v>6.4</v>
      </c>
      <c r="AK623" s="1583">
        <f>AE623+AG623</f>
        <v>4</v>
      </c>
      <c r="AM623" s="1992" t="s">
        <v>165</v>
      </c>
      <c r="AN623" s="1743">
        <f>P623+R623+T623</f>
        <v>84</v>
      </c>
      <c r="AO623" s="858">
        <f>Q623+S623+U623</f>
        <v>84</v>
      </c>
      <c r="AP623" s="2034" t="s">
        <v>159</v>
      </c>
      <c r="AQ623" s="2112">
        <f>AB623+AD623+AF623</f>
        <v>6.4</v>
      </c>
      <c r="AR623" s="856">
        <f>AC623+AE623+AG623</f>
        <v>4</v>
      </c>
    </row>
    <row r="624" spans="2:48" ht="16.5" thickBot="1">
      <c r="B624" s="876" t="s">
        <v>567</v>
      </c>
      <c r="C624" s="68"/>
      <c r="D624" s="960"/>
      <c r="E624" s="1132" t="s">
        <v>575</v>
      </c>
      <c r="F624" s="86"/>
      <c r="G624" s="86"/>
      <c r="H624" s="86"/>
      <c r="I624" s="68"/>
      <c r="J624" s="54"/>
      <c r="K624" s="397" t="s">
        <v>577</v>
      </c>
      <c r="L624" s="861"/>
      <c r="M624" s="862"/>
      <c r="O624" s="1944" t="s">
        <v>164</v>
      </c>
      <c r="P624" s="1724">
        <f>D631</f>
        <v>50</v>
      </c>
      <c r="Q624" s="2020">
        <f>D631</f>
        <v>50</v>
      </c>
      <c r="R624" s="1724">
        <f>D644</f>
        <v>70</v>
      </c>
      <c r="S624" s="2020">
        <f>D644</f>
        <v>70</v>
      </c>
      <c r="T624" s="1724"/>
      <c r="U624" s="2020"/>
      <c r="V624" s="1724">
        <f t="shared" ref="V624:V652" si="524">P624+R624</f>
        <v>120</v>
      </c>
      <c r="W624" s="1586">
        <f t="shared" ref="W624:W653" si="525">Q624+S624</f>
        <v>120</v>
      </c>
      <c r="X624" s="1724">
        <f t="shared" ref="X624:X657" si="526">R624+T624</f>
        <v>70</v>
      </c>
      <c r="Y624" s="1585">
        <f t="shared" ref="Y624:Y653" si="527">S624+U624</f>
        <v>70</v>
      </c>
      <c r="AA624" s="178" t="s">
        <v>70</v>
      </c>
      <c r="AB624" s="444"/>
      <c r="AC624" s="1956"/>
      <c r="AD624" s="1789">
        <f>I644</f>
        <v>8.8000000000000007</v>
      </c>
      <c r="AE624" s="1598">
        <f>J644</f>
        <v>6.8</v>
      </c>
      <c r="AF624" s="1789"/>
      <c r="AG624" s="1681"/>
      <c r="AH624" s="1789">
        <f>AB624+AD624</f>
        <v>8.8000000000000007</v>
      </c>
      <c r="AI624" s="1586">
        <f t="shared" ref="AI624:AJ637" si="528">AC624+AE624</f>
        <v>6.8</v>
      </c>
      <c r="AJ624" s="1789">
        <f>AD624+AF624</f>
        <v>8.8000000000000007</v>
      </c>
      <c r="AK624" s="1585">
        <f t="shared" ref="AK624:AK637" si="529">AE624+AG624</f>
        <v>6.8</v>
      </c>
      <c r="AM624" s="1944" t="s">
        <v>164</v>
      </c>
      <c r="AN624" s="1743">
        <f t="shared" ref="AN624:AN636" si="530">P624+R624+T624</f>
        <v>120</v>
      </c>
      <c r="AO624" s="858">
        <f t="shared" ref="AO624:AO653" si="531">Q624+S624+U624</f>
        <v>120</v>
      </c>
      <c r="AP624" s="2039" t="s">
        <v>70</v>
      </c>
      <c r="AQ624" s="1801">
        <f t="shared" ref="AQ624:AQ639" si="532">AB624+AD624+AF624</f>
        <v>8.8000000000000007</v>
      </c>
      <c r="AR624" s="856">
        <f t="shared" ref="AR624:AR638" si="533">AC624+AE624+AG624</f>
        <v>6.8</v>
      </c>
    </row>
    <row r="625" spans="2:48" ht="15.75" thickBot="1">
      <c r="B625" s="88"/>
      <c r="C625" s="162" t="s">
        <v>199</v>
      </c>
      <c r="D625" s="54"/>
      <c r="E625" s="281" t="s">
        <v>118</v>
      </c>
      <c r="F625" s="97" t="s">
        <v>119</v>
      </c>
      <c r="G625" s="135" t="s">
        <v>120</v>
      </c>
      <c r="H625" s="263" t="s">
        <v>118</v>
      </c>
      <c r="I625" s="97" t="s">
        <v>119</v>
      </c>
      <c r="J625" s="135" t="s">
        <v>120</v>
      </c>
      <c r="K625" s="263" t="s">
        <v>118</v>
      </c>
      <c r="L625" s="97" t="s">
        <v>119</v>
      </c>
      <c r="M625" s="135" t="s">
        <v>120</v>
      </c>
      <c r="O625" s="1993" t="s">
        <v>92</v>
      </c>
      <c r="P625" s="1762">
        <f>I628+L629</f>
        <v>5.73</v>
      </c>
      <c r="Q625" s="1590">
        <f>J628+M629</f>
        <v>5.73</v>
      </c>
      <c r="R625" s="1762">
        <f>I652+L645</f>
        <v>5.94</v>
      </c>
      <c r="S625" s="2171">
        <f>J652+M645</f>
        <v>5.94</v>
      </c>
      <c r="T625" s="1762">
        <f>I660</f>
        <v>1.8</v>
      </c>
      <c r="U625" s="1590">
        <f>J660</f>
        <v>1.8</v>
      </c>
      <c r="V625" s="1762">
        <f t="shared" si="524"/>
        <v>11.670000000000002</v>
      </c>
      <c r="W625" s="1590">
        <f t="shared" si="525"/>
        <v>11.670000000000002</v>
      </c>
      <c r="X625" s="1762">
        <f t="shared" si="526"/>
        <v>7.74</v>
      </c>
      <c r="Y625" s="1814">
        <f t="shared" si="527"/>
        <v>7.74</v>
      </c>
      <c r="AA625" s="125" t="s">
        <v>72</v>
      </c>
      <c r="AB625" s="444"/>
      <c r="AC625" s="1957"/>
      <c r="AD625" s="1789">
        <f>I645</f>
        <v>11.6</v>
      </c>
      <c r="AE625" s="1598">
        <f>J645</f>
        <v>7.6</v>
      </c>
      <c r="AF625" s="1789"/>
      <c r="AG625" s="1681"/>
      <c r="AH625" s="1789">
        <f>AB625+AD625</f>
        <v>11.6</v>
      </c>
      <c r="AI625" s="1586">
        <f t="shared" si="528"/>
        <v>7.6</v>
      </c>
      <c r="AJ625" s="1789">
        <f>AD625+AF625</f>
        <v>11.6</v>
      </c>
      <c r="AK625" s="1585">
        <f t="shared" si="529"/>
        <v>7.6</v>
      </c>
      <c r="AM625" s="1993" t="s">
        <v>92</v>
      </c>
      <c r="AN625" s="1743">
        <f t="shared" si="530"/>
        <v>13.470000000000002</v>
      </c>
      <c r="AO625" s="858">
        <f t="shared" si="531"/>
        <v>13.470000000000002</v>
      </c>
      <c r="AP625" s="2100" t="s">
        <v>72</v>
      </c>
      <c r="AQ625" s="1801">
        <f t="shared" si="532"/>
        <v>11.6</v>
      </c>
      <c r="AR625" s="856">
        <f t="shared" si="533"/>
        <v>7.6</v>
      </c>
    </row>
    <row r="626" spans="2:48">
      <c r="B626" s="1184" t="s">
        <v>645</v>
      </c>
      <c r="C626" s="241" t="s">
        <v>396</v>
      </c>
      <c r="D626" s="239">
        <v>60</v>
      </c>
      <c r="E626" s="259" t="s">
        <v>52</v>
      </c>
      <c r="F626" s="123">
        <v>124.61</v>
      </c>
      <c r="G626" s="309">
        <v>93.5</v>
      </c>
      <c r="H626" s="259" t="s">
        <v>93</v>
      </c>
      <c r="I626" s="123">
        <v>9</v>
      </c>
      <c r="J626" s="735">
        <v>9</v>
      </c>
      <c r="K626" s="98" t="s">
        <v>311</v>
      </c>
      <c r="L626" s="1057">
        <v>79.680000000000007</v>
      </c>
      <c r="M626" s="1058">
        <v>71</v>
      </c>
      <c r="O626" s="1996" t="s">
        <v>900</v>
      </c>
      <c r="P626" s="1725">
        <f t="shared" ref="P626:U626" si="534">AB661</f>
        <v>0</v>
      </c>
      <c r="Q626" s="1595">
        <f t="shared" si="534"/>
        <v>0</v>
      </c>
      <c r="R626" s="1725">
        <f t="shared" si="534"/>
        <v>30</v>
      </c>
      <c r="S626" s="1595">
        <f t="shared" si="534"/>
        <v>30</v>
      </c>
      <c r="T626" s="1725">
        <f t="shared" si="534"/>
        <v>10</v>
      </c>
      <c r="U626" s="1595">
        <f t="shared" si="534"/>
        <v>10</v>
      </c>
      <c r="V626" s="1725">
        <f>P626+R626</f>
        <v>30</v>
      </c>
      <c r="W626" s="1594">
        <f t="shared" si="525"/>
        <v>30</v>
      </c>
      <c r="X626" s="1725">
        <f t="shared" si="526"/>
        <v>40</v>
      </c>
      <c r="Y626" s="1820">
        <f t="shared" si="527"/>
        <v>40</v>
      </c>
      <c r="AA626" s="125" t="s">
        <v>74</v>
      </c>
      <c r="AB626" s="1789"/>
      <c r="AC626" s="1958"/>
      <c r="AD626" s="1789"/>
      <c r="AE626" s="1598"/>
      <c r="AF626" s="1789"/>
      <c r="AG626" s="1681"/>
      <c r="AH626" s="1789">
        <f t="shared" ref="AH626:AH637" si="535">AB626+AD626</f>
        <v>0</v>
      </c>
      <c r="AI626" s="1586">
        <f t="shared" si="528"/>
        <v>0</v>
      </c>
      <c r="AJ626" s="1789">
        <f t="shared" si="528"/>
        <v>0</v>
      </c>
      <c r="AK626" s="1585">
        <f t="shared" si="529"/>
        <v>0</v>
      </c>
      <c r="AM626" s="1996" t="s">
        <v>900</v>
      </c>
      <c r="AN626" s="2076">
        <f t="shared" si="530"/>
        <v>40</v>
      </c>
      <c r="AO626" s="858">
        <f t="shared" si="531"/>
        <v>40</v>
      </c>
      <c r="AP626" s="2100" t="s">
        <v>74</v>
      </c>
      <c r="AQ626" s="1801">
        <f t="shared" si="532"/>
        <v>0</v>
      </c>
      <c r="AR626" s="856">
        <f t="shared" si="533"/>
        <v>0</v>
      </c>
      <c r="AT626" s="2"/>
    </row>
    <row r="627" spans="2:48">
      <c r="B627" s="477" t="s">
        <v>578</v>
      </c>
      <c r="C627" s="1546" t="s">
        <v>577</v>
      </c>
      <c r="D627" s="410" t="s">
        <v>373</v>
      </c>
      <c r="E627" s="192" t="s">
        <v>97</v>
      </c>
      <c r="F627" s="233">
        <v>1</v>
      </c>
      <c r="G627" s="247">
        <v>1</v>
      </c>
      <c r="H627" s="192" t="s">
        <v>95</v>
      </c>
      <c r="I627" s="256">
        <v>1.98</v>
      </c>
      <c r="J627" s="267">
        <v>1.98</v>
      </c>
      <c r="K627" s="185" t="s">
        <v>95</v>
      </c>
      <c r="L627" s="276">
        <v>2</v>
      </c>
      <c r="M627" s="236">
        <v>2</v>
      </c>
      <c r="O627" s="1944" t="s">
        <v>924</v>
      </c>
      <c r="P627" s="1724"/>
      <c r="Q627" s="1569"/>
      <c r="R627" s="1724">
        <f>F640</f>
        <v>14</v>
      </c>
      <c r="S627" s="1569">
        <f>G640</f>
        <v>14</v>
      </c>
      <c r="T627" s="1724"/>
      <c r="U627" s="1569"/>
      <c r="V627" s="1724">
        <f t="shared" si="524"/>
        <v>14</v>
      </c>
      <c r="W627" s="1586">
        <f t="shared" si="525"/>
        <v>14</v>
      </c>
      <c r="X627" s="1724">
        <f t="shared" si="526"/>
        <v>14</v>
      </c>
      <c r="Y627" s="1585">
        <f t="shared" si="527"/>
        <v>14</v>
      </c>
      <c r="AA627" s="126" t="s">
        <v>112</v>
      </c>
      <c r="AB627" s="1789"/>
      <c r="AC627" s="1957"/>
      <c r="AD627" s="1969"/>
      <c r="AE627" s="1598"/>
      <c r="AF627" s="1789"/>
      <c r="AG627" s="1681"/>
      <c r="AH627" s="1789">
        <f t="shared" si="535"/>
        <v>0</v>
      </c>
      <c r="AI627" s="1586">
        <f t="shared" si="528"/>
        <v>0</v>
      </c>
      <c r="AJ627" s="1789">
        <f t="shared" si="528"/>
        <v>0</v>
      </c>
      <c r="AK627" s="1585">
        <f t="shared" si="529"/>
        <v>0</v>
      </c>
      <c r="AM627" s="1944" t="s">
        <v>123</v>
      </c>
      <c r="AN627" s="1743">
        <f t="shared" si="530"/>
        <v>14</v>
      </c>
      <c r="AO627" s="858">
        <f t="shared" si="531"/>
        <v>14</v>
      </c>
      <c r="AP627" s="2039" t="s">
        <v>112</v>
      </c>
      <c r="AQ627" s="1801">
        <f t="shared" si="532"/>
        <v>0</v>
      </c>
      <c r="AR627" s="856">
        <f t="shared" si="533"/>
        <v>0</v>
      </c>
      <c r="AT627" s="855"/>
    </row>
    <row r="628" spans="2:48">
      <c r="B628" s="1130" t="s">
        <v>574</v>
      </c>
      <c r="C628" s="1543" t="s">
        <v>572</v>
      </c>
      <c r="D628" s="1236" t="s">
        <v>573</v>
      </c>
      <c r="E628" s="1235" t="s">
        <v>571</v>
      </c>
      <c r="F628" s="233"/>
      <c r="G628" s="247"/>
      <c r="H628" s="503" t="s">
        <v>92</v>
      </c>
      <c r="I628" s="256">
        <v>1.98</v>
      </c>
      <c r="J628" s="267">
        <v>1.98</v>
      </c>
      <c r="K628" s="248" t="s">
        <v>108</v>
      </c>
      <c r="L628" s="233">
        <v>7.5</v>
      </c>
      <c r="M628" s="247">
        <v>7.5</v>
      </c>
      <c r="O628" s="560" t="s">
        <v>52</v>
      </c>
      <c r="P628" s="1724">
        <f>F626</f>
        <v>124.61</v>
      </c>
      <c r="Q628" s="1586">
        <f>G626</f>
        <v>93.5</v>
      </c>
      <c r="R628" s="1966">
        <f>F639</f>
        <v>70.900000000000006</v>
      </c>
      <c r="S628" s="1586">
        <f>G639</f>
        <v>53.16</v>
      </c>
      <c r="T628" s="1966"/>
      <c r="U628" s="1569"/>
      <c r="V628" s="1724">
        <f t="shared" si="524"/>
        <v>195.51</v>
      </c>
      <c r="W628" s="1586">
        <f t="shared" si="525"/>
        <v>146.66</v>
      </c>
      <c r="X628" s="1724">
        <f t="shared" si="526"/>
        <v>70.900000000000006</v>
      </c>
      <c r="Y628" s="1585">
        <f t="shared" si="527"/>
        <v>53.16</v>
      </c>
      <c r="AA628" s="125" t="s">
        <v>161</v>
      </c>
      <c r="AB628" s="1789"/>
      <c r="AC628" s="1957"/>
      <c r="AD628" s="1789"/>
      <c r="AE628" s="1598"/>
      <c r="AF628" s="1789"/>
      <c r="AG628" s="1681"/>
      <c r="AH628" s="1789">
        <f t="shared" si="535"/>
        <v>0</v>
      </c>
      <c r="AI628" s="1586">
        <f t="shared" si="528"/>
        <v>0</v>
      </c>
      <c r="AJ628" s="1789">
        <f t="shared" si="528"/>
        <v>0</v>
      </c>
      <c r="AK628" s="1585">
        <f t="shared" si="529"/>
        <v>0</v>
      </c>
      <c r="AM628" s="495" t="s">
        <v>52</v>
      </c>
      <c r="AN628" s="1743">
        <f t="shared" si="530"/>
        <v>195.51</v>
      </c>
      <c r="AO628" s="858">
        <f t="shared" si="531"/>
        <v>146.66</v>
      </c>
      <c r="AP628" s="2100" t="s">
        <v>161</v>
      </c>
      <c r="AQ628" s="1801">
        <f t="shared" si="532"/>
        <v>0</v>
      </c>
      <c r="AR628" s="856">
        <f t="shared" si="533"/>
        <v>0</v>
      </c>
    </row>
    <row r="629" spans="2:48">
      <c r="B629" s="359" t="s">
        <v>570</v>
      </c>
      <c r="C629" s="1544" t="s">
        <v>576</v>
      </c>
      <c r="D629" s="341"/>
      <c r="E629" s="192" t="s">
        <v>86</v>
      </c>
      <c r="F629" s="233">
        <v>96.48</v>
      </c>
      <c r="G629" s="247">
        <v>75.599999999999994</v>
      </c>
      <c r="H629" s="987" t="s">
        <v>98</v>
      </c>
      <c r="I629" s="233">
        <v>4.0000000000000002E-4</v>
      </c>
      <c r="J629" s="411">
        <v>4.0000000000000002E-4</v>
      </c>
      <c r="K629" s="248" t="s">
        <v>92</v>
      </c>
      <c r="L629" s="276">
        <v>3.75</v>
      </c>
      <c r="M629" s="236">
        <v>3.75</v>
      </c>
      <c r="O629" s="2016" t="s">
        <v>912</v>
      </c>
      <c r="P629" s="2050">
        <f t="shared" ref="P629:U629" si="536">AB638</f>
        <v>197.78000000000003</v>
      </c>
      <c r="Q629" s="1598">
        <f t="shared" si="536"/>
        <v>163.6</v>
      </c>
      <c r="R629" s="2086">
        <f t="shared" si="536"/>
        <v>139.1</v>
      </c>
      <c r="S629" s="1598">
        <f t="shared" si="536"/>
        <v>108.4</v>
      </c>
      <c r="T629" s="1726">
        <f t="shared" si="536"/>
        <v>99</v>
      </c>
      <c r="U629" s="1598">
        <f t="shared" si="536"/>
        <v>79</v>
      </c>
      <c r="V629" s="2050">
        <f>P629+R629</f>
        <v>336.88</v>
      </c>
      <c r="W629" s="1597">
        <f t="shared" si="525"/>
        <v>272</v>
      </c>
      <c r="X629" s="2086">
        <f>R629+T629</f>
        <v>238.1</v>
      </c>
      <c r="Y629" s="1604">
        <f t="shared" si="527"/>
        <v>187.4</v>
      </c>
      <c r="AA629" s="125" t="s">
        <v>155</v>
      </c>
      <c r="AB629" s="2083"/>
      <c r="AC629" s="1957"/>
      <c r="AD629" s="2083">
        <f>L639</f>
        <v>75</v>
      </c>
      <c r="AE629" s="1598">
        <f>M639</f>
        <v>60</v>
      </c>
      <c r="AF629" s="1789"/>
      <c r="AG629" s="1681"/>
      <c r="AH629" s="1789">
        <f t="shared" si="535"/>
        <v>75</v>
      </c>
      <c r="AI629" s="1586">
        <f t="shared" si="528"/>
        <v>60</v>
      </c>
      <c r="AJ629" s="1789">
        <f t="shared" si="528"/>
        <v>75</v>
      </c>
      <c r="AK629" s="1585">
        <f t="shared" si="529"/>
        <v>60</v>
      </c>
      <c r="AM629" s="2016" t="s">
        <v>96</v>
      </c>
      <c r="AN629" s="2077">
        <f t="shared" si="530"/>
        <v>435.88</v>
      </c>
      <c r="AO629" s="858">
        <f t="shared" si="531"/>
        <v>351</v>
      </c>
      <c r="AP629" s="2100" t="s">
        <v>155</v>
      </c>
      <c r="AQ629" s="1801">
        <f t="shared" si="532"/>
        <v>75</v>
      </c>
      <c r="AR629" s="856">
        <f t="shared" si="533"/>
        <v>60</v>
      </c>
    </row>
    <row r="630" spans="2:48">
      <c r="B630" s="246" t="s">
        <v>9</v>
      </c>
      <c r="C630" s="241" t="s">
        <v>151</v>
      </c>
      <c r="D630" s="239">
        <v>200</v>
      </c>
      <c r="E630" s="1234" t="s">
        <v>130</v>
      </c>
      <c r="F630" s="233">
        <v>21.6</v>
      </c>
      <c r="G630" s="235">
        <v>18</v>
      </c>
      <c r="H630" s="192" t="s">
        <v>97</v>
      </c>
      <c r="I630" s="233">
        <v>0.18</v>
      </c>
      <c r="J630" s="411">
        <v>0.18</v>
      </c>
      <c r="K630" s="248" t="s">
        <v>94</v>
      </c>
      <c r="L630" s="233">
        <v>38.200000000000003</v>
      </c>
      <c r="M630" s="247">
        <v>38.200000000000003</v>
      </c>
      <c r="O630" s="1943" t="s">
        <v>901</v>
      </c>
      <c r="P630" s="1727">
        <f t="shared" ref="P630:U630" si="537">AB645</f>
        <v>0</v>
      </c>
      <c r="Q630" s="1586">
        <f t="shared" si="537"/>
        <v>0</v>
      </c>
      <c r="R630" s="1727">
        <f t="shared" si="537"/>
        <v>124.85</v>
      </c>
      <c r="S630" s="1569">
        <f t="shared" si="537"/>
        <v>110</v>
      </c>
      <c r="T630" s="1727">
        <f t="shared" si="537"/>
        <v>0</v>
      </c>
      <c r="U630" s="1569">
        <f t="shared" si="537"/>
        <v>0</v>
      </c>
      <c r="V630" s="1727">
        <f>P630+R630</f>
        <v>124.85</v>
      </c>
      <c r="W630" s="1586">
        <f t="shared" si="525"/>
        <v>110</v>
      </c>
      <c r="X630" s="1727">
        <f>R630+T630</f>
        <v>124.85</v>
      </c>
      <c r="Y630" s="1585">
        <f t="shared" si="527"/>
        <v>110</v>
      </c>
      <c r="AA630" s="125" t="s">
        <v>158</v>
      </c>
      <c r="AB630" s="1789"/>
      <c r="AC630" s="1959"/>
      <c r="AD630" s="1789"/>
      <c r="AE630" s="1598"/>
      <c r="AF630" s="1789"/>
      <c r="AG630" s="1681"/>
      <c r="AH630" s="1789">
        <f t="shared" si="535"/>
        <v>0</v>
      </c>
      <c r="AI630" s="1586">
        <f t="shared" si="528"/>
        <v>0</v>
      </c>
      <c r="AJ630" s="1789">
        <f t="shared" si="528"/>
        <v>0</v>
      </c>
      <c r="AK630" s="1585">
        <f t="shared" si="529"/>
        <v>0</v>
      </c>
      <c r="AM630" s="1943" t="s">
        <v>901</v>
      </c>
      <c r="AN630" s="1743">
        <f t="shared" si="530"/>
        <v>124.85</v>
      </c>
      <c r="AO630" s="858">
        <f t="shared" si="531"/>
        <v>110</v>
      </c>
      <c r="AP630" s="2100" t="s">
        <v>158</v>
      </c>
      <c r="AQ630" s="1801">
        <f t="shared" si="532"/>
        <v>0</v>
      </c>
      <c r="AR630" s="856">
        <f t="shared" si="533"/>
        <v>0</v>
      </c>
    </row>
    <row r="631" spans="2:48" ht="15.75" thickBot="1">
      <c r="B631" s="246" t="s">
        <v>10</v>
      </c>
      <c r="C631" s="469" t="s">
        <v>11</v>
      </c>
      <c r="D631" s="378">
        <v>50</v>
      </c>
      <c r="E631" s="192" t="s">
        <v>103</v>
      </c>
      <c r="F631" s="445">
        <v>2.6</v>
      </c>
      <c r="G631" s="2551">
        <v>2.6</v>
      </c>
      <c r="H631" s="1183" t="s">
        <v>94</v>
      </c>
      <c r="I631" s="233">
        <v>9</v>
      </c>
      <c r="J631" s="411">
        <v>9</v>
      </c>
      <c r="K631" s="409" t="s">
        <v>98</v>
      </c>
      <c r="L631" s="271">
        <v>8.9999999999999998E-4</v>
      </c>
      <c r="M631" s="737">
        <v>8.9999999999999998E-4</v>
      </c>
      <c r="O631" s="1947" t="s">
        <v>122</v>
      </c>
      <c r="P631" s="1727"/>
      <c r="Q631" s="1569"/>
      <c r="R631" s="1970">
        <f>F652</f>
        <v>20</v>
      </c>
      <c r="S631" s="1569">
        <f>G652</f>
        <v>20</v>
      </c>
      <c r="T631" s="1727"/>
      <c r="U631" s="1569"/>
      <c r="V631" s="1724">
        <f t="shared" si="524"/>
        <v>20</v>
      </c>
      <c r="W631" s="1586">
        <f t="shared" si="525"/>
        <v>20</v>
      </c>
      <c r="X631" s="1727">
        <f>R631+T631</f>
        <v>20</v>
      </c>
      <c r="Y631" s="1585">
        <f t="shared" si="527"/>
        <v>20</v>
      </c>
      <c r="AA631" s="125" t="s">
        <v>101</v>
      </c>
      <c r="AB631" s="1789">
        <f>F630+L633</f>
        <v>33.5</v>
      </c>
      <c r="AC631" s="1959">
        <f>G630+M633</f>
        <v>28</v>
      </c>
      <c r="AD631" s="1969">
        <f>F642</f>
        <v>12</v>
      </c>
      <c r="AE631" s="1598">
        <f>G642</f>
        <v>10</v>
      </c>
      <c r="AF631" s="1789"/>
      <c r="AG631" s="1681"/>
      <c r="AH631" s="1789">
        <f t="shared" si="535"/>
        <v>45.5</v>
      </c>
      <c r="AI631" s="1586">
        <f t="shared" si="528"/>
        <v>38</v>
      </c>
      <c r="AJ631" s="1789">
        <f t="shared" si="528"/>
        <v>12</v>
      </c>
      <c r="AK631" s="1585">
        <f t="shared" si="529"/>
        <v>10</v>
      </c>
      <c r="AM631" s="1947" t="s">
        <v>122</v>
      </c>
      <c r="AN631" s="1743">
        <f t="shared" si="530"/>
        <v>20</v>
      </c>
      <c r="AO631" s="858">
        <f t="shared" si="531"/>
        <v>20</v>
      </c>
      <c r="AP631" s="2100" t="s">
        <v>101</v>
      </c>
      <c r="AQ631" s="1801">
        <f t="shared" si="532"/>
        <v>45.5</v>
      </c>
      <c r="AR631" s="856">
        <f t="shared" si="533"/>
        <v>38</v>
      </c>
      <c r="AV631" s="855"/>
    </row>
    <row r="632" spans="2:48" ht="15.75" thickBot="1">
      <c r="B632" s="246" t="s">
        <v>10</v>
      </c>
      <c r="C632" s="241" t="s">
        <v>792</v>
      </c>
      <c r="D632" s="378">
        <v>20</v>
      </c>
      <c r="E632" s="192" t="s">
        <v>95</v>
      </c>
      <c r="F632" s="256">
        <v>1.4</v>
      </c>
      <c r="G632" s="257">
        <v>1.4</v>
      </c>
      <c r="H632" s="281" t="s">
        <v>396</v>
      </c>
      <c r="I632" s="278"/>
      <c r="J632" s="38"/>
      <c r="K632" s="185" t="s">
        <v>97</v>
      </c>
      <c r="L632" s="233">
        <v>0.5</v>
      </c>
      <c r="M632" s="247">
        <v>0.5</v>
      </c>
      <c r="N632" s="517"/>
      <c r="O632" s="1993" t="s">
        <v>313</v>
      </c>
      <c r="P632" s="1724">
        <f>D630</f>
        <v>200</v>
      </c>
      <c r="Q632" s="1569">
        <f>D630</f>
        <v>200</v>
      </c>
      <c r="R632" s="1724"/>
      <c r="S632" s="1569"/>
      <c r="T632" s="1724"/>
      <c r="U632" s="1569"/>
      <c r="V632" s="1724">
        <f t="shared" si="524"/>
        <v>200</v>
      </c>
      <c r="W632" s="1586">
        <f t="shared" si="525"/>
        <v>200</v>
      </c>
      <c r="X632" s="1724">
        <f t="shared" si="526"/>
        <v>0</v>
      </c>
      <c r="Y632" s="1585">
        <f t="shared" si="527"/>
        <v>0</v>
      </c>
      <c r="AA632" s="125" t="s">
        <v>79</v>
      </c>
      <c r="AB632" s="1789"/>
      <c r="AC632" s="1957"/>
      <c r="AD632" s="1969">
        <f>F641+I643</f>
        <v>25.3</v>
      </c>
      <c r="AE632" s="1598">
        <f>G641+J643</f>
        <v>20</v>
      </c>
      <c r="AF632" s="1789">
        <f>F658</f>
        <v>99</v>
      </c>
      <c r="AG632" s="1681">
        <f>G658</f>
        <v>79</v>
      </c>
      <c r="AH632" s="1789">
        <f t="shared" si="535"/>
        <v>25.3</v>
      </c>
      <c r="AI632" s="1586">
        <f t="shared" si="528"/>
        <v>20</v>
      </c>
      <c r="AJ632" s="1789">
        <f t="shared" si="528"/>
        <v>124.3</v>
      </c>
      <c r="AK632" s="1585">
        <f t="shared" si="529"/>
        <v>99</v>
      </c>
      <c r="AM632" s="1993" t="s">
        <v>163</v>
      </c>
      <c r="AN632" s="1743">
        <f t="shared" si="530"/>
        <v>200</v>
      </c>
      <c r="AO632" s="858">
        <f t="shared" si="531"/>
        <v>200</v>
      </c>
      <c r="AP632" s="2100" t="s">
        <v>79</v>
      </c>
      <c r="AQ632" s="1801">
        <f t="shared" si="532"/>
        <v>124.3</v>
      </c>
      <c r="AR632" s="856">
        <f t="shared" si="533"/>
        <v>99</v>
      </c>
    </row>
    <row r="633" spans="2:48" ht="15.75" thickBot="1">
      <c r="B633" s="61"/>
      <c r="C633" s="999"/>
      <c r="D633" s="71"/>
      <c r="E633" s="192" t="s">
        <v>97</v>
      </c>
      <c r="F633" s="233">
        <v>0.5</v>
      </c>
      <c r="G633" s="247">
        <v>0.5</v>
      </c>
      <c r="H633" s="281" t="s">
        <v>118</v>
      </c>
      <c r="I633" s="97" t="s">
        <v>119</v>
      </c>
      <c r="J633" s="281" t="s">
        <v>120</v>
      </c>
      <c r="K633" s="1131" t="s">
        <v>130</v>
      </c>
      <c r="L633" s="233">
        <v>11.9</v>
      </c>
      <c r="M633" s="235">
        <v>10</v>
      </c>
      <c r="O633" s="560" t="s">
        <v>895</v>
      </c>
      <c r="P633" s="1724">
        <f t="shared" ref="P633:U633" si="538">AB648</f>
        <v>0</v>
      </c>
      <c r="Q633" s="1569">
        <f t="shared" si="538"/>
        <v>0</v>
      </c>
      <c r="R633" s="1724">
        <f t="shared" si="538"/>
        <v>63.15</v>
      </c>
      <c r="S633" s="1586">
        <f t="shared" si="538"/>
        <v>54.6</v>
      </c>
      <c r="T633" s="1724">
        <f t="shared" si="538"/>
        <v>0</v>
      </c>
      <c r="U633" s="1569">
        <f t="shared" si="538"/>
        <v>0</v>
      </c>
      <c r="V633" s="1724">
        <f t="shared" si="524"/>
        <v>63.15</v>
      </c>
      <c r="W633" s="1586">
        <f t="shared" si="525"/>
        <v>54.6</v>
      </c>
      <c r="X633" s="1724">
        <f t="shared" si="526"/>
        <v>63.15</v>
      </c>
      <c r="Y633" s="1585">
        <f t="shared" si="527"/>
        <v>54.6</v>
      </c>
      <c r="AA633" s="125" t="s">
        <v>86</v>
      </c>
      <c r="AB633" s="1789">
        <f>F629</f>
        <v>96.48</v>
      </c>
      <c r="AC633" s="1960">
        <f>G629</f>
        <v>75.599999999999994</v>
      </c>
      <c r="AD633" s="1789"/>
      <c r="AE633" s="1598"/>
      <c r="AF633" s="1789"/>
      <c r="AG633" s="1681"/>
      <c r="AH633" s="1789">
        <f t="shared" si="535"/>
        <v>96.48</v>
      </c>
      <c r="AI633" s="1586">
        <f t="shared" si="528"/>
        <v>75.599999999999994</v>
      </c>
      <c r="AJ633" s="1789">
        <f t="shared" si="528"/>
        <v>0</v>
      </c>
      <c r="AK633" s="1585">
        <f t="shared" si="529"/>
        <v>0</v>
      </c>
      <c r="AM633" s="560" t="s">
        <v>895</v>
      </c>
      <c r="AN633" s="1743">
        <f t="shared" si="530"/>
        <v>63.15</v>
      </c>
      <c r="AO633" s="858">
        <f t="shared" si="531"/>
        <v>54.6</v>
      </c>
      <c r="AP633" s="2100" t="s">
        <v>86</v>
      </c>
      <c r="AQ633" s="1801">
        <f t="shared" si="532"/>
        <v>96.48</v>
      </c>
      <c r="AR633" s="856">
        <f t="shared" si="533"/>
        <v>75.599999999999994</v>
      </c>
    </row>
    <row r="634" spans="2:48">
      <c r="B634" s="61"/>
      <c r="C634" s="1237"/>
      <c r="D634" s="1238"/>
      <c r="H634" s="324" t="s">
        <v>160</v>
      </c>
      <c r="I634" s="899">
        <v>67.8</v>
      </c>
      <c r="J634" s="408">
        <v>60</v>
      </c>
      <c r="K634" s="249" t="s">
        <v>95</v>
      </c>
      <c r="L634" s="251">
        <v>1.9</v>
      </c>
      <c r="M634" s="255">
        <v>1.9</v>
      </c>
      <c r="O634" s="1944" t="s">
        <v>894</v>
      </c>
      <c r="P634" s="1724">
        <f t="shared" ref="P634:U634" si="539">AB652</f>
        <v>79.680000000000007</v>
      </c>
      <c r="Q634" s="1586">
        <f t="shared" si="539"/>
        <v>71</v>
      </c>
      <c r="R634" s="1966">
        <f t="shared" si="539"/>
        <v>61.7</v>
      </c>
      <c r="S634" s="1586">
        <f t="shared" si="539"/>
        <v>34.6</v>
      </c>
      <c r="T634" s="1724">
        <f t="shared" si="539"/>
        <v>0</v>
      </c>
      <c r="U634" s="1586">
        <f t="shared" si="539"/>
        <v>0</v>
      </c>
      <c r="V634" s="1724">
        <f t="shared" si="524"/>
        <v>141.38</v>
      </c>
      <c r="W634" s="1586">
        <f t="shared" si="525"/>
        <v>105.6</v>
      </c>
      <c r="X634" s="1724">
        <f t="shared" si="526"/>
        <v>61.7</v>
      </c>
      <c r="Y634" s="1585">
        <f t="shared" si="527"/>
        <v>34.6</v>
      </c>
      <c r="AA634" s="125" t="s">
        <v>160</v>
      </c>
      <c r="AB634" s="1789">
        <f>I634</f>
        <v>67.8</v>
      </c>
      <c r="AC634" s="1961">
        <f>J634</f>
        <v>60</v>
      </c>
      <c r="AD634" s="1789"/>
      <c r="AE634" s="1598"/>
      <c r="AF634" s="1789"/>
      <c r="AG634" s="1681"/>
      <c r="AH634" s="1789">
        <f t="shared" si="535"/>
        <v>67.8</v>
      </c>
      <c r="AI634" s="1586">
        <f t="shared" si="528"/>
        <v>60</v>
      </c>
      <c r="AJ634" s="1789">
        <f t="shared" si="528"/>
        <v>0</v>
      </c>
      <c r="AK634" s="1585">
        <f t="shared" si="529"/>
        <v>0</v>
      </c>
      <c r="AM634" s="1944" t="s">
        <v>894</v>
      </c>
      <c r="AN634" s="1743">
        <f t="shared" si="530"/>
        <v>141.38</v>
      </c>
      <c r="AO634" s="858">
        <f t="shared" si="531"/>
        <v>105.6</v>
      </c>
      <c r="AP634" s="2100" t="s">
        <v>160</v>
      </c>
      <c r="AQ634" s="1801">
        <f t="shared" si="532"/>
        <v>67.8</v>
      </c>
      <c r="AR634" s="856">
        <f t="shared" si="533"/>
        <v>60</v>
      </c>
    </row>
    <row r="635" spans="2:48" ht="15.75" thickBot="1">
      <c r="B635" s="1139" t="s">
        <v>582</v>
      </c>
      <c r="C635" s="1136"/>
      <c r="D635" s="1137">
        <f>D626+D630+D631+D632+50+50+90+90</f>
        <v>610</v>
      </c>
      <c r="E635" s="29"/>
      <c r="F635" s="648"/>
      <c r="G635" s="1215"/>
      <c r="H635" s="513"/>
      <c r="I635" s="184"/>
      <c r="J635" s="165"/>
      <c r="K635" s="1095" t="s">
        <v>634</v>
      </c>
      <c r="L635" s="302"/>
      <c r="M635" s="323">
        <v>0.999</v>
      </c>
      <c r="O635" s="1944" t="s">
        <v>150</v>
      </c>
      <c r="P635" s="1724"/>
      <c r="Q635" s="1586"/>
      <c r="R635" s="1727">
        <f>F638</f>
        <v>76.77</v>
      </c>
      <c r="S635" s="1586">
        <f>G638</f>
        <v>53.9</v>
      </c>
      <c r="T635" s="1727"/>
      <c r="U635" s="1569"/>
      <c r="V635" s="1724">
        <f t="shared" si="524"/>
        <v>76.77</v>
      </c>
      <c r="W635" s="1586">
        <f t="shared" si="525"/>
        <v>53.9</v>
      </c>
      <c r="X635" s="1724">
        <f t="shared" si="526"/>
        <v>76.77</v>
      </c>
      <c r="Y635" s="1585">
        <f t="shared" si="527"/>
        <v>53.9</v>
      </c>
      <c r="AA635" s="125" t="s">
        <v>157</v>
      </c>
      <c r="AB635" s="2048"/>
      <c r="AC635" s="1961"/>
      <c r="AD635" s="1969"/>
      <c r="AE635" s="1598"/>
      <c r="AF635" s="1789"/>
      <c r="AG635" s="1681"/>
      <c r="AH635" s="1789">
        <f t="shared" si="535"/>
        <v>0</v>
      </c>
      <c r="AI635" s="1586">
        <f t="shared" si="528"/>
        <v>0</v>
      </c>
      <c r="AJ635" s="1789">
        <f t="shared" si="528"/>
        <v>0</v>
      </c>
      <c r="AK635" s="1585">
        <f t="shared" si="529"/>
        <v>0</v>
      </c>
      <c r="AM635" s="1944" t="s">
        <v>150</v>
      </c>
      <c r="AN635" s="1743">
        <f t="shared" si="530"/>
        <v>76.77</v>
      </c>
      <c r="AO635" s="858">
        <f t="shared" si="531"/>
        <v>53.9</v>
      </c>
      <c r="AP635" s="2100" t="s">
        <v>157</v>
      </c>
      <c r="AQ635" s="1801">
        <f t="shared" si="532"/>
        <v>0</v>
      </c>
      <c r="AR635" s="856">
        <f t="shared" si="533"/>
        <v>0</v>
      </c>
    </row>
    <row r="636" spans="2:48" ht="15.75" thickBot="1">
      <c r="B636" s="403"/>
      <c r="C636" s="162" t="s">
        <v>152</v>
      </c>
      <c r="D636" s="54"/>
      <c r="E636" s="1257" t="s">
        <v>840</v>
      </c>
      <c r="F636" s="29"/>
      <c r="G636" s="29"/>
      <c r="H636" s="1248" t="s">
        <v>656</v>
      </c>
      <c r="I636" s="86"/>
      <c r="J636" s="86"/>
      <c r="K636" s="1245" t="s">
        <v>661</v>
      </c>
      <c r="L636" s="506"/>
      <c r="M636" s="507"/>
      <c r="O636" s="1944" t="s">
        <v>75</v>
      </c>
      <c r="P636" s="1724"/>
      <c r="Q636" s="1569"/>
      <c r="R636" s="1724"/>
      <c r="S636" s="1569"/>
      <c r="T636" s="1724"/>
      <c r="U636" s="1569"/>
      <c r="V636" s="1724">
        <f t="shared" si="524"/>
        <v>0</v>
      </c>
      <c r="W636" s="1586">
        <f t="shared" si="525"/>
        <v>0</v>
      </c>
      <c r="X636" s="1724">
        <f t="shared" si="526"/>
        <v>0</v>
      </c>
      <c r="Y636" s="1585">
        <f t="shared" si="527"/>
        <v>0</v>
      </c>
      <c r="AA636" s="125" t="s">
        <v>156</v>
      </c>
      <c r="AB636" s="444"/>
      <c r="AC636" s="1960"/>
      <c r="AD636" s="1789"/>
      <c r="AE636" s="1598"/>
      <c r="AF636" s="1789"/>
      <c r="AG636" s="1681"/>
      <c r="AH636" s="1789">
        <f t="shared" si="535"/>
        <v>0</v>
      </c>
      <c r="AI636" s="1586">
        <f t="shared" si="528"/>
        <v>0</v>
      </c>
      <c r="AJ636" s="1789">
        <f t="shared" si="528"/>
        <v>0</v>
      </c>
      <c r="AK636" s="1585">
        <f t="shared" si="529"/>
        <v>0</v>
      </c>
      <c r="AM636" s="1944" t="s">
        <v>75</v>
      </c>
      <c r="AN636" s="1743">
        <f t="shared" si="530"/>
        <v>0</v>
      </c>
      <c r="AO636" s="858">
        <f t="shared" si="531"/>
        <v>0</v>
      </c>
      <c r="AP636" s="2100" t="s">
        <v>156</v>
      </c>
      <c r="AQ636" s="1801">
        <f t="shared" si="532"/>
        <v>0</v>
      </c>
      <c r="AR636" s="856">
        <f t="shared" si="533"/>
        <v>0</v>
      </c>
    </row>
    <row r="637" spans="2:48" ht="15.75" thickBot="1">
      <c r="B637" s="1184" t="s">
        <v>660</v>
      </c>
      <c r="C637" s="241" t="s">
        <v>661</v>
      </c>
      <c r="D637" s="166">
        <v>60</v>
      </c>
      <c r="E637" s="406" t="s">
        <v>118</v>
      </c>
      <c r="F637" s="103" t="s">
        <v>119</v>
      </c>
      <c r="G637" s="136" t="s">
        <v>120</v>
      </c>
      <c r="H637" s="263" t="s">
        <v>118</v>
      </c>
      <c r="I637" s="1250" t="s">
        <v>119</v>
      </c>
      <c r="J637" s="135" t="s">
        <v>120</v>
      </c>
      <c r="K637" s="313" t="s">
        <v>118</v>
      </c>
      <c r="L637" s="97" t="s">
        <v>119</v>
      </c>
      <c r="M637" s="135" t="s">
        <v>120</v>
      </c>
      <c r="O637" s="1049" t="s">
        <v>68</v>
      </c>
      <c r="P637" s="1724">
        <f>I626</f>
        <v>9</v>
      </c>
      <c r="Q637" s="2021">
        <f>J626</f>
        <v>9</v>
      </c>
      <c r="R637" s="1970">
        <f>I650</f>
        <v>7</v>
      </c>
      <c r="S637" s="2021">
        <f>J650</f>
        <v>7</v>
      </c>
      <c r="T637" s="1724">
        <f>F660+I658+L659</f>
        <v>257.45999999999998</v>
      </c>
      <c r="U637" s="2021">
        <f>G660+J658+M659</f>
        <v>257.45999999999998</v>
      </c>
      <c r="V637" s="1724">
        <f t="shared" si="524"/>
        <v>16</v>
      </c>
      <c r="W637" s="1586">
        <f t="shared" si="525"/>
        <v>16</v>
      </c>
      <c r="X637" s="1724">
        <f t="shared" si="526"/>
        <v>264.45999999999998</v>
      </c>
      <c r="Y637" s="1585">
        <f t="shared" si="527"/>
        <v>264.45999999999998</v>
      </c>
      <c r="AA637" s="125" t="s">
        <v>545</v>
      </c>
      <c r="AB637" s="1779"/>
      <c r="AC637" s="1956"/>
      <c r="AD637" s="1790"/>
      <c r="AE637" s="1598"/>
      <c r="AF637" s="1790"/>
      <c r="AG637" s="1681"/>
      <c r="AH637" s="1790">
        <f t="shared" si="535"/>
        <v>0</v>
      </c>
      <c r="AI637" s="1586">
        <f t="shared" si="528"/>
        <v>0</v>
      </c>
      <c r="AJ637" s="1790">
        <f t="shared" si="528"/>
        <v>0</v>
      </c>
      <c r="AK637" s="1585">
        <f t="shared" si="529"/>
        <v>0</v>
      </c>
      <c r="AM637" s="1944" t="s">
        <v>68</v>
      </c>
      <c r="AN637" s="2091">
        <f>P637+R637+T637</f>
        <v>273.45999999999998</v>
      </c>
      <c r="AO637" s="858">
        <f t="shared" si="531"/>
        <v>273.45999999999998</v>
      </c>
      <c r="AP637" s="2145" t="s">
        <v>545</v>
      </c>
      <c r="AQ637" s="2146">
        <f t="shared" si="532"/>
        <v>0</v>
      </c>
      <c r="AR637" s="856">
        <f t="shared" si="533"/>
        <v>0</v>
      </c>
    </row>
    <row r="638" spans="2:48" ht="15.75" thickBot="1">
      <c r="B638" s="1529" t="s">
        <v>839</v>
      </c>
      <c r="C638" s="283" t="s">
        <v>840</v>
      </c>
      <c r="D638" s="410">
        <v>250</v>
      </c>
      <c r="E638" s="502" t="s">
        <v>150</v>
      </c>
      <c r="F638" s="123">
        <v>76.77</v>
      </c>
      <c r="G638" s="426">
        <v>53.9</v>
      </c>
      <c r="H638" s="100" t="s">
        <v>114</v>
      </c>
      <c r="I638" s="1252">
        <v>30</v>
      </c>
      <c r="J638" s="264">
        <v>30</v>
      </c>
      <c r="K638" s="1271" t="s">
        <v>662</v>
      </c>
      <c r="L638" s="68"/>
      <c r="M638" s="54"/>
      <c r="O638" s="1049" t="s">
        <v>170</v>
      </c>
      <c r="P638" s="1724"/>
      <c r="Q638" s="1569">
        <f>G635</f>
        <v>0</v>
      </c>
      <c r="R638" s="1724"/>
      <c r="S638" s="1569"/>
      <c r="T638" s="1724"/>
      <c r="U638" s="1569"/>
      <c r="V638" s="1724">
        <f t="shared" si="524"/>
        <v>0</v>
      </c>
      <c r="W638" s="1586">
        <f t="shared" si="525"/>
        <v>0</v>
      </c>
      <c r="X638" s="1724">
        <f t="shared" si="526"/>
        <v>0</v>
      </c>
      <c r="Y638" s="1585">
        <f t="shared" si="527"/>
        <v>0</v>
      </c>
      <c r="AA638" s="2141" t="s">
        <v>96</v>
      </c>
      <c r="AB638" s="1964">
        <f t="shared" ref="AB638" si="540">SUM(AB623:AB637)</f>
        <v>197.78000000000003</v>
      </c>
      <c r="AC638" s="2162">
        <f>SUM(AC623:AC637)</f>
        <v>163.6</v>
      </c>
      <c r="AD638" s="1964">
        <f t="shared" ref="AD638" si="541">SUM(AD623:AD637)</f>
        <v>139.1</v>
      </c>
      <c r="AE638" s="1598">
        <f>SUM(AE623:AE637)</f>
        <v>108.4</v>
      </c>
      <c r="AF638" s="1964">
        <f t="shared" ref="AF638" si="542">SUM(AF623:AF637)</f>
        <v>99</v>
      </c>
      <c r="AG638" s="1598">
        <f>SUM(AG623:AG637)</f>
        <v>79</v>
      </c>
      <c r="AH638" s="1964">
        <f>AB638+AD638</f>
        <v>336.88</v>
      </c>
      <c r="AI638" s="2015">
        <f>AC638+AE638</f>
        <v>272</v>
      </c>
      <c r="AJ638" s="1964">
        <f>AD638+AF638</f>
        <v>238.1</v>
      </c>
      <c r="AK638" s="1604">
        <f>SUM(AK623:AK637)</f>
        <v>187.4</v>
      </c>
      <c r="AM638" s="1944" t="s">
        <v>170</v>
      </c>
      <c r="AN638" s="1743">
        <f t="shared" ref="AN638:AN652" si="543">P638+R638+T638</f>
        <v>0</v>
      </c>
      <c r="AO638" s="857">
        <f t="shared" si="531"/>
        <v>0</v>
      </c>
      <c r="AP638" s="2013" t="s">
        <v>96</v>
      </c>
      <c r="AQ638" s="2142">
        <f>AB638+AD638+AF638</f>
        <v>435.88</v>
      </c>
      <c r="AR638" s="856">
        <f t="shared" si="533"/>
        <v>351</v>
      </c>
    </row>
    <row r="639" spans="2:48" ht="15.75" thickBot="1">
      <c r="B639" s="477" t="s">
        <v>849</v>
      </c>
      <c r="C639" s="398" t="s">
        <v>848</v>
      </c>
      <c r="D639" s="661">
        <v>110</v>
      </c>
      <c r="E639" s="192" t="s">
        <v>52</v>
      </c>
      <c r="F639" s="233">
        <v>70.900000000000006</v>
      </c>
      <c r="G639" s="267">
        <v>53.16</v>
      </c>
      <c r="H639" s="249" t="s">
        <v>95</v>
      </c>
      <c r="I639" s="302">
        <v>5</v>
      </c>
      <c r="J639" s="1077">
        <v>5</v>
      </c>
      <c r="K639" s="249" t="s">
        <v>663</v>
      </c>
      <c r="L639" s="251">
        <v>75</v>
      </c>
      <c r="M639" s="1077">
        <v>60</v>
      </c>
      <c r="O639" s="1049" t="s">
        <v>73</v>
      </c>
      <c r="P639" s="1724"/>
      <c r="Q639" s="1587"/>
      <c r="R639" s="1724"/>
      <c r="S639" s="1587"/>
      <c r="T639" s="1727">
        <f>F663</f>
        <v>12.4</v>
      </c>
      <c r="U639" s="1587">
        <f>G663</f>
        <v>12</v>
      </c>
      <c r="V639" s="1724">
        <f t="shared" si="524"/>
        <v>0</v>
      </c>
      <c r="W639" s="1586">
        <f t="shared" si="525"/>
        <v>0</v>
      </c>
      <c r="X639" s="1724">
        <f t="shared" si="526"/>
        <v>12.4</v>
      </c>
      <c r="Y639" s="1585">
        <f t="shared" si="527"/>
        <v>12</v>
      </c>
      <c r="AA639" s="514" t="s">
        <v>166</v>
      </c>
      <c r="AB639" s="2105">
        <f>F629+F630+I634+L633</f>
        <v>197.78</v>
      </c>
      <c r="AC639" s="837">
        <f>G629+G630+J634+M633</f>
        <v>163.6</v>
      </c>
      <c r="AD639" s="2107">
        <f>F641+F642+I643+I644+I645+I646+L639</f>
        <v>139.1</v>
      </c>
      <c r="AE639" s="1598">
        <f>G641+G642+J643+J644+J645+J646+M639</f>
        <v>108.4</v>
      </c>
      <c r="AF639" s="2109">
        <f>F658</f>
        <v>99</v>
      </c>
      <c r="AG639" s="1598"/>
      <c r="AH639" s="1825">
        <f t="shared" ref="AH639" si="544">AB639+AD639</f>
        <v>336.88</v>
      </c>
      <c r="AI639" s="1749"/>
      <c r="AJ639" s="1825">
        <f t="shared" ref="AJ639" si="545">AD639+AF639</f>
        <v>238.1</v>
      </c>
      <c r="AK639" s="1813"/>
      <c r="AM639" s="1944" t="s">
        <v>73</v>
      </c>
      <c r="AN639" s="1743">
        <f t="shared" si="543"/>
        <v>12.4</v>
      </c>
      <c r="AO639" s="857">
        <f t="shared" si="531"/>
        <v>12</v>
      </c>
      <c r="AP639" s="2104" t="s">
        <v>166</v>
      </c>
      <c r="AQ639" s="1800">
        <f t="shared" si="532"/>
        <v>435.88</v>
      </c>
      <c r="AR639" s="839"/>
    </row>
    <row r="640" spans="2:48" ht="15.75" thickBot="1">
      <c r="B640" s="156" t="s">
        <v>333</v>
      </c>
      <c r="C640" s="393" t="s">
        <v>657</v>
      </c>
      <c r="D640" s="429" t="s">
        <v>544</v>
      </c>
      <c r="E640" s="192" t="s">
        <v>655</v>
      </c>
      <c r="F640" s="233">
        <v>14</v>
      </c>
      <c r="G640" s="267">
        <v>14</v>
      </c>
      <c r="H640" s="249" t="s">
        <v>94</v>
      </c>
      <c r="I640" s="251">
        <v>110.7</v>
      </c>
      <c r="J640" s="1078">
        <v>110.7</v>
      </c>
      <c r="K640" s="1260" t="s">
        <v>850</v>
      </c>
      <c r="L640" s="86"/>
      <c r="M640" s="765"/>
      <c r="O640" s="1049" t="s">
        <v>925</v>
      </c>
      <c r="P640" s="1724"/>
      <c r="Q640" s="1587"/>
      <c r="R640" s="1966">
        <f>F648</f>
        <v>10.85</v>
      </c>
      <c r="S640" s="1629">
        <f>G648</f>
        <v>10.5</v>
      </c>
      <c r="T640" s="1724"/>
      <c r="U640" s="1587"/>
      <c r="V640" s="1724">
        <f t="shared" si="524"/>
        <v>10.85</v>
      </c>
      <c r="W640" s="1586">
        <f t="shared" si="525"/>
        <v>10.5</v>
      </c>
      <c r="X640" s="1724">
        <f t="shared" si="526"/>
        <v>10.85</v>
      </c>
      <c r="Y640" s="1585">
        <f t="shared" si="527"/>
        <v>10.5</v>
      </c>
      <c r="AA640" s="2094" t="s">
        <v>878</v>
      </c>
      <c r="AB640" s="2095"/>
      <c r="AC640" s="2096"/>
      <c r="AD640" s="1778"/>
      <c r="AE640" s="1815"/>
      <c r="AF640" s="1778"/>
      <c r="AG640" s="2097"/>
      <c r="AH640" s="1788"/>
      <c r="AI640" s="2098"/>
      <c r="AJ640" s="1788"/>
      <c r="AK640" s="1603"/>
      <c r="AM640" s="1944" t="s">
        <v>54</v>
      </c>
      <c r="AN640" s="1743">
        <f t="shared" si="543"/>
        <v>10.85</v>
      </c>
      <c r="AO640" s="857">
        <f t="shared" si="531"/>
        <v>10.5</v>
      </c>
      <c r="AP640" s="2118" t="s">
        <v>878</v>
      </c>
      <c r="AQ640" s="1839">
        <f>AB640+AD640+AF640</f>
        <v>0</v>
      </c>
      <c r="AR640" s="752">
        <f>AC640+AE640+AG640</f>
        <v>0</v>
      </c>
    </row>
    <row r="641" spans="2:44" ht="15.75" thickBot="1">
      <c r="B641" s="1256" t="s">
        <v>664</v>
      </c>
      <c r="C641" s="1547" t="s">
        <v>665</v>
      </c>
      <c r="D641" s="425"/>
      <c r="E641" s="192" t="s">
        <v>79</v>
      </c>
      <c r="F641" s="233">
        <v>12.5</v>
      </c>
      <c r="G641" s="267">
        <v>10</v>
      </c>
      <c r="H641" s="1253" t="s">
        <v>667</v>
      </c>
      <c r="I641" s="1246"/>
      <c r="J641" s="1259"/>
      <c r="K641" s="313" t="s">
        <v>118</v>
      </c>
      <c r="L641" s="97" t="s">
        <v>119</v>
      </c>
      <c r="M641" s="135" t="s">
        <v>120</v>
      </c>
      <c r="O641" s="1049" t="s">
        <v>78</v>
      </c>
      <c r="P641" s="1966">
        <f>L628</f>
        <v>7.5</v>
      </c>
      <c r="Q641" s="1630">
        <f>M628</f>
        <v>7.5</v>
      </c>
      <c r="R641" s="1724"/>
      <c r="S641" s="1587"/>
      <c r="T641" s="1724"/>
      <c r="U641" s="1587"/>
      <c r="V641" s="1724">
        <f t="shared" si="524"/>
        <v>7.5</v>
      </c>
      <c r="W641" s="1586">
        <f t="shared" si="525"/>
        <v>7.5</v>
      </c>
      <c r="X641" s="1724">
        <f t="shared" si="526"/>
        <v>0</v>
      </c>
      <c r="Y641" s="1585">
        <f t="shared" si="527"/>
        <v>0</v>
      </c>
      <c r="AA641" s="1873" t="s">
        <v>879</v>
      </c>
      <c r="AB641" s="1777"/>
      <c r="AC641" s="1878"/>
      <c r="AD641" s="1680">
        <f>L655</f>
        <v>124.85</v>
      </c>
      <c r="AE641" s="1882">
        <f>M655</f>
        <v>110</v>
      </c>
      <c r="AF641" s="1789"/>
      <c r="AG641" s="1886"/>
      <c r="AH641" s="1789">
        <f t="shared" ref="AH641:AH645" si="546">AB641+AD641</f>
        <v>124.85</v>
      </c>
      <c r="AI641" s="1890">
        <f>AC641+AE641</f>
        <v>110</v>
      </c>
      <c r="AJ641" s="1789">
        <f t="shared" ref="AJ641:AJ664" si="547">AD641+AF641</f>
        <v>124.85</v>
      </c>
      <c r="AK641" s="1893">
        <f>AE641+AG641</f>
        <v>110</v>
      </c>
      <c r="AM641" s="1944" t="s">
        <v>78</v>
      </c>
      <c r="AN641" s="1743">
        <f t="shared" si="543"/>
        <v>7.5</v>
      </c>
      <c r="AO641" s="1047">
        <f t="shared" si="531"/>
        <v>7.5</v>
      </c>
      <c r="AP641" s="1660" t="s">
        <v>879</v>
      </c>
      <c r="AQ641" s="1840">
        <f>AB641+AD641+AF641</f>
        <v>124.85</v>
      </c>
      <c r="AR641" s="1667">
        <f>AC641+AE641+AG641</f>
        <v>110</v>
      </c>
    </row>
    <row r="642" spans="2:44">
      <c r="B642" s="407" t="s">
        <v>490</v>
      </c>
      <c r="C642" s="283" t="s">
        <v>230</v>
      </c>
      <c r="D642" s="429">
        <v>200</v>
      </c>
      <c r="E642" s="192" t="s">
        <v>232</v>
      </c>
      <c r="F642" s="233">
        <v>12</v>
      </c>
      <c r="G642" s="267">
        <v>10</v>
      </c>
      <c r="H642" s="1254" t="s">
        <v>666</v>
      </c>
      <c r="I642" s="1247"/>
      <c r="J642" s="1255"/>
      <c r="K642" s="390" t="s">
        <v>668</v>
      </c>
      <c r="L642" s="498">
        <v>63.15</v>
      </c>
      <c r="M642" s="1251">
        <v>54.6</v>
      </c>
      <c r="O642" s="1049" t="s">
        <v>95</v>
      </c>
      <c r="P642" s="1966">
        <f>F632+I627+L627+L634</f>
        <v>7.2799999999999994</v>
      </c>
      <c r="Q642" s="1586">
        <f>J627+M634+M627+G632</f>
        <v>7.2799999999999994</v>
      </c>
      <c r="R642" s="1724">
        <f>I639+I647+I651</f>
        <v>8.5399999999999991</v>
      </c>
      <c r="S642" s="1586">
        <f>G643+J639+J647+J651</f>
        <v>13.54</v>
      </c>
      <c r="T642" s="1724">
        <f>F659+I659</f>
        <v>4</v>
      </c>
      <c r="U642" s="1586">
        <f>G659+J659</f>
        <v>4</v>
      </c>
      <c r="V642" s="1724">
        <f t="shared" si="524"/>
        <v>15.819999999999999</v>
      </c>
      <c r="W642" s="1586">
        <f t="shared" si="525"/>
        <v>20.82</v>
      </c>
      <c r="X642" s="1724">
        <f t="shared" si="526"/>
        <v>12.54</v>
      </c>
      <c r="Y642" s="1585">
        <f t="shared" si="527"/>
        <v>17.54</v>
      </c>
      <c r="AA642" s="1874" t="s">
        <v>880</v>
      </c>
      <c r="AB642" s="1782"/>
      <c r="AC642" s="1879"/>
      <c r="AD642" s="444"/>
      <c r="AE642" s="1883"/>
      <c r="AF642" s="1793"/>
      <c r="AG642" s="1887"/>
      <c r="AH642" s="1789">
        <f t="shared" si="546"/>
        <v>0</v>
      </c>
      <c r="AI642" s="1890">
        <f>AC642+AE642</f>
        <v>0</v>
      </c>
      <c r="AJ642" s="1789">
        <f t="shared" si="547"/>
        <v>0</v>
      </c>
      <c r="AK642" s="1893">
        <f>AE642+AG642</f>
        <v>0</v>
      </c>
      <c r="AM642" s="1944" t="s">
        <v>95</v>
      </c>
      <c r="AN642" s="1743">
        <f t="shared" si="543"/>
        <v>19.82</v>
      </c>
      <c r="AO642" s="1047">
        <f t="shared" si="531"/>
        <v>24.82</v>
      </c>
      <c r="AP642" s="1661" t="s">
        <v>880</v>
      </c>
      <c r="AQ642" s="1840">
        <f t="shared" ref="AQ642:AQ644" si="548">AB642+AD642+AF642</f>
        <v>0</v>
      </c>
      <c r="AR642" s="1667">
        <f t="shared" ref="AR642:AR644" si="549">AC642+AE642+AG642</f>
        <v>0</v>
      </c>
    </row>
    <row r="643" spans="2:44">
      <c r="B643" s="1528" t="s">
        <v>14</v>
      </c>
      <c r="C643" s="167" t="s">
        <v>318</v>
      </c>
      <c r="D643" s="341"/>
      <c r="E643" s="500" t="s">
        <v>103</v>
      </c>
      <c r="F643" s="276">
        <v>5</v>
      </c>
      <c r="G643" s="267">
        <v>5</v>
      </c>
      <c r="H643" s="248" t="s">
        <v>79</v>
      </c>
      <c r="I643" s="498">
        <v>12.8</v>
      </c>
      <c r="J643" s="1251">
        <v>10</v>
      </c>
      <c r="K643" s="186" t="s">
        <v>311</v>
      </c>
      <c r="L643" s="233">
        <v>61.7</v>
      </c>
      <c r="M643" s="257">
        <v>34.6</v>
      </c>
      <c r="O643" s="1049" t="s">
        <v>103</v>
      </c>
      <c r="P643" s="1979">
        <f>F631</f>
        <v>2.6</v>
      </c>
      <c r="Q643" s="1588">
        <f>G631</f>
        <v>2.6</v>
      </c>
      <c r="R643" s="1724">
        <f>L649+F643</f>
        <v>12.16</v>
      </c>
      <c r="S643" s="1569">
        <f>M649+G643</f>
        <v>12.16</v>
      </c>
      <c r="T643" s="1724">
        <f>F665</f>
        <v>3</v>
      </c>
      <c r="U643" s="1569">
        <f>G665</f>
        <v>3</v>
      </c>
      <c r="V643" s="1724">
        <f t="shared" si="524"/>
        <v>14.76</v>
      </c>
      <c r="W643" s="1586">
        <f t="shared" si="525"/>
        <v>14.76</v>
      </c>
      <c r="X643" s="1724">
        <f t="shared" si="526"/>
        <v>15.16</v>
      </c>
      <c r="Y643" s="1585">
        <f t="shared" si="527"/>
        <v>15.16</v>
      </c>
      <c r="AA643" s="1875" t="s">
        <v>881</v>
      </c>
      <c r="AB643" s="1782"/>
      <c r="AC643" s="1879"/>
      <c r="AD643" s="444"/>
      <c r="AE643" s="1883"/>
      <c r="AF643" s="1789"/>
      <c r="AG643" s="1887"/>
      <c r="AH643" s="1789">
        <f t="shared" si="546"/>
        <v>0</v>
      </c>
      <c r="AI643" s="1890">
        <f>AC643+AE643</f>
        <v>0</v>
      </c>
      <c r="AJ643" s="1789">
        <f t="shared" si="547"/>
        <v>0</v>
      </c>
      <c r="AK643" s="1893">
        <f>AE643+AG643</f>
        <v>0</v>
      </c>
      <c r="AM643" s="1944" t="s">
        <v>103</v>
      </c>
      <c r="AN643" s="1743">
        <f t="shared" si="543"/>
        <v>17.759999999999998</v>
      </c>
      <c r="AO643" s="1047">
        <f t="shared" si="531"/>
        <v>17.759999999999998</v>
      </c>
      <c r="AP643" s="1662" t="s">
        <v>881</v>
      </c>
      <c r="AQ643" s="1840">
        <f t="shared" si="548"/>
        <v>0</v>
      </c>
      <c r="AR643" s="1667">
        <f t="shared" si="549"/>
        <v>0</v>
      </c>
    </row>
    <row r="644" spans="2:44" ht="15.75" thickBot="1">
      <c r="B644" s="246" t="s">
        <v>10</v>
      </c>
      <c r="C644" s="241" t="s">
        <v>11</v>
      </c>
      <c r="D644" s="239">
        <v>70</v>
      </c>
      <c r="E644" s="192" t="s">
        <v>61</v>
      </c>
      <c r="F644" s="272">
        <v>0.89</v>
      </c>
      <c r="G644" s="736">
        <v>0.89</v>
      </c>
      <c r="H644" s="185" t="s">
        <v>648</v>
      </c>
      <c r="I644" s="233">
        <v>8.8000000000000007</v>
      </c>
      <c r="J644" s="257">
        <v>6.8</v>
      </c>
      <c r="K644" s="185" t="s">
        <v>225</v>
      </c>
      <c r="L644" s="498" t="s">
        <v>995</v>
      </c>
      <c r="M644" s="1251">
        <v>18.8</v>
      </c>
      <c r="O644" s="1049" t="s">
        <v>906</v>
      </c>
      <c r="P644" s="1724"/>
      <c r="Q644" s="1586"/>
      <c r="R644" s="1727">
        <f>S644/1000/0.04</f>
        <v>0.69000000000000006</v>
      </c>
      <c r="S644" s="1586">
        <f>M646+M644</f>
        <v>27.6</v>
      </c>
      <c r="T644" s="1979">
        <f>U644/1000/0.04</f>
        <v>0.1</v>
      </c>
      <c r="U644" s="1586">
        <f>G662</f>
        <v>4</v>
      </c>
      <c r="V644" s="1724">
        <f t="shared" si="524"/>
        <v>0.69000000000000006</v>
      </c>
      <c r="W644" s="1586">
        <f t="shared" si="525"/>
        <v>27.6</v>
      </c>
      <c r="X644" s="1724">
        <f t="shared" si="526"/>
        <v>0.79</v>
      </c>
      <c r="Y644" s="1585">
        <f t="shared" si="527"/>
        <v>31.6</v>
      </c>
      <c r="AA644" s="1876" t="s">
        <v>882</v>
      </c>
      <c r="AB644" s="1783"/>
      <c r="AC644" s="1880"/>
      <c r="AD644" s="1779"/>
      <c r="AE644" s="1884"/>
      <c r="AF644" s="1790">
        <f>L664</f>
        <v>0</v>
      </c>
      <c r="AG644" s="1888">
        <f>M664</f>
        <v>0</v>
      </c>
      <c r="AH644" s="1790">
        <f t="shared" si="546"/>
        <v>0</v>
      </c>
      <c r="AI644" s="1891"/>
      <c r="AJ644" s="1812">
        <f t="shared" si="547"/>
        <v>0</v>
      </c>
      <c r="AK644" s="2046"/>
      <c r="AM644" s="1944" t="s">
        <v>162</v>
      </c>
      <c r="AN644" s="1743">
        <f t="shared" si="543"/>
        <v>0.79</v>
      </c>
      <c r="AO644" s="1047">
        <f t="shared" si="531"/>
        <v>31.6</v>
      </c>
      <c r="AP644" s="1707" t="s">
        <v>882</v>
      </c>
      <c r="AQ644" s="1840">
        <f t="shared" si="548"/>
        <v>0</v>
      </c>
      <c r="AR644" s="1667">
        <f t="shared" si="549"/>
        <v>0</v>
      </c>
    </row>
    <row r="645" spans="2:44" ht="15.75" thickBot="1">
      <c r="B645" s="246" t="s">
        <v>10</v>
      </c>
      <c r="C645" s="241" t="s">
        <v>792</v>
      </c>
      <c r="D645" s="239">
        <v>40</v>
      </c>
      <c r="E645" s="192" t="s">
        <v>222</v>
      </c>
      <c r="F645" s="233">
        <v>1.3299999999999999E-2</v>
      </c>
      <c r="G645" s="267">
        <v>1.3299999999999999E-2</v>
      </c>
      <c r="H645" s="390" t="s">
        <v>192</v>
      </c>
      <c r="I645" s="272">
        <v>11.6</v>
      </c>
      <c r="J645" s="273">
        <v>7.6</v>
      </c>
      <c r="K645" s="248" t="s">
        <v>92</v>
      </c>
      <c r="L645" s="233">
        <v>4.4000000000000004</v>
      </c>
      <c r="M645" s="257">
        <v>4.4000000000000004</v>
      </c>
      <c r="O645" s="1049" t="s">
        <v>57</v>
      </c>
      <c r="P645" s="2059"/>
      <c r="Q645" s="1600"/>
      <c r="R645" s="1724">
        <f>F653+I648</f>
        <v>22.4</v>
      </c>
      <c r="S645" s="1600">
        <f>G653+J648</f>
        <v>22.4</v>
      </c>
      <c r="T645" s="1724">
        <f>I663+L660</f>
        <v>3.4</v>
      </c>
      <c r="U645" s="1600">
        <f>J663+M660</f>
        <v>3.4</v>
      </c>
      <c r="V645" s="1724">
        <f t="shared" si="524"/>
        <v>22.4</v>
      </c>
      <c r="W645" s="1586">
        <f t="shared" si="525"/>
        <v>22.4</v>
      </c>
      <c r="X645" s="1724">
        <f t="shared" si="526"/>
        <v>25.799999999999997</v>
      </c>
      <c r="Y645" s="1585">
        <f t="shared" si="527"/>
        <v>25.799999999999997</v>
      </c>
      <c r="AA645" s="1877" t="s">
        <v>883</v>
      </c>
      <c r="AB645" s="1896">
        <f>SUM(AB641:AB644)</f>
        <v>0</v>
      </c>
      <c r="AC645" s="1881">
        <f>AC641+AC642+AC643+AC644</f>
        <v>0</v>
      </c>
      <c r="AD645" s="1968">
        <f>AD641+AD642+AD643+AD644</f>
        <v>124.85</v>
      </c>
      <c r="AE645" s="1885">
        <f>AE641+AE642+AE643+AE644</f>
        <v>110</v>
      </c>
      <c r="AF645" s="1898">
        <f>SUM(AF641:AF644)</f>
        <v>0</v>
      </c>
      <c r="AG645" s="1889">
        <f>SUM(AG641:AG644)</f>
        <v>0</v>
      </c>
      <c r="AH645" s="1898">
        <f t="shared" si="546"/>
        <v>124.85</v>
      </c>
      <c r="AI645" s="1892">
        <f>AC645+AE645</f>
        <v>110</v>
      </c>
      <c r="AJ645" s="1898">
        <f t="shared" si="547"/>
        <v>124.85</v>
      </c>
      <c r="AK645" s="1895">
        <f>AE645+AG645</f>
        <v>110</v>
      </c>
      <c r="AM645" s="1944" t="s">
        <v>57</v>
      </c>
      <c r="AN645" s="1743">
        <f t="shared" si="543"/>
        <v>25.799999999999997</v>
      </c>
      <c r="AO645" s="1047">
        <f t="shared" si="531"/>
        <v>25.799999999999997</v>
      </c>
      <c r="AP645" s="1719" t="s">
        <v>883</v>
      </c>
      <c r="AQ645" s="2119">
        <f>AB645+AD645+AF645</f>
        <v>124.85</v>
      </c>
      <c r="AR645" s="2120">
        <f>AC645+AE645+AG645</f>
        <v>110</v>
      </c>
    </row>
    <row r="646" spans="2:44">
      <c r="B646" s="266" t="s">
        <v>1004</v>
      </c>
      <c r="C646" s="241" t="s">
        <v>1009</v>
      </c>
      <c r="D646" s="285">
        <v>110</v>
      </c>
      <c r="E646" s="192" t="s">
        <v>94</v>
      </c>
      <c r="F646" s="233">
        <v>175</v>
      </c>
      <c r="G646" s="267">
        <v>175</v>
      </c>
      <c r="H646" s="185" t="s">
        <v>623</v>
      </c>
      <c r="I646" s="233">
        <v>6.4</v>
      </c>
      <c r="J646" s="257">
        <v>4</v>
      </c>
      <c r="K646" s="185" t="s">
        <v>225</v>
      </c>
      <c r="L646" s="256" t="s">
        <v>996</v>
      </c>
      <c r="M646" s="257">
        <v>8.8000000000000007</v>
      </c>
      <c r="O646" s="1049" t="s">
        <v>171</v>
      </c>
      <c r="P646" s="1724"/>
      <c r="Q646" s="1569"/>
      <c r="R646" s="1724"/>
      <c r="S646" s="1569"/>
      <c r="T646" s="1724"/>
      <c r="U646" s="1569"/>
      <c r="V646" s="1724">
        <f t="shared" si="524"/>
        <v>0</v>
      </c>
      <c r="W646" s="1586">
        <f t="shared" si="525"/>
        <v>0</v>
      </c>
      <c r="X646" s="1724">
        <f t="shared" si="526"/>
        <v>0</v>
      </c>
      <c r="Y646" s="1585">
        <f t="shared" si="527"/>
        <v>0</v>
      </c>
      <c r="AA646" s="1702" t="s">
        <v>896</v>
      </c>
      <c r="AB646" s="1784"/>
      <c r="AC646" s="2140"/>
      <c r="AD646" s="1788">
        <f>L642</f>
        <v>63.15</v>
      </c>
      <c r="AE646" s="1704">
        <f>M642</f>
        <v>54.6</v>
      </c>
      <c r="AF646" s="1784"/>
      <c r="AG646" s="1703"/>
      <c r="AH646" s="1788"/>
      <c r="AI646" s="1769">
        <f>AC646+AE646</f>
        <v>54.6</v>
      </c>
      <c r="AJ646" s="1788">
        <f t="shared" si="547"/>
        <v>63.15</v>
      </c>
      <c r="AK646" s="1806">
        <f>AE646+AG646</f>
        <v>54.6</v>
      </c>
      <c r="AM646" s="1944" t="s">
        <v>171</v>
      </c>
      <c r="AN646" s="1743">
        <f t="shared" si="543"/>
        <v>0</v>
      </c>
      <c r="AO646" s="1047">
        <f t="shared" si="531"/>
        <v>0</v>
      </c>
      <c r="AP646" s="2121" t="s">
        <v>389</v>
      </c>
      <c r="AQ646" s="2122">
        <f t="shared" ref="AQ646:AQ647" si="550">AB646+AD646+AF646</f>
        <v>63.15</v>
      </c>
      <c r="AR646" s="2123">
        <f t="shared" ref="AR646:AR647" si="551">AC646+AE646+AG646</f>
        <v>54.6</v>
      </c>
    </row>
    <row r="647" spans="2:44" ht="15.75" thickBot="1">
      <c r="B647" s="61"/>
      <c r="C647" s="999"/>
      <c r="D647" s="71"/>
      <c r="E647" s="1095" t="s">
        <v>634</v>
      </c>
      <c r="F647" s="251"/>
      <c r="G647" s="1064">
        <v>1.49</v>
      </c>
      <c r="H647" s="185" t="s">
        <v>95</v>
      </c>
      <c r="I647" s="233">
        <v>2</v>
      </c>
      <c r="J647" s="247">
        <v>2</v>
      </c>
      <c r="K647" s="249" t="s">
        <v>669</v>
      </c>
      <c r="L647" s="233">
        <v>11</v>
      </c>
      <c r="M647" s="257">
        <v>11</v>
      </c>
      <c r="O647" s="1049" t="s">
        <v>59</v>
      </c>
      <c r="P647" s="1724"/>
      <c r="Q647" s="1569"/>
      <c r="R647" s="1724"/>
      <c r="S647" s="1569"/>
      <c r="T647" s="1724"/>
      <c r="U647" s="1569"/>
      <c r="V647" s="1724">
        <f t="shared" si="524"/>
        <v>0</v>
      </c>
      <c r="W647" s="1586">
        <f t="shared" si="525"/>
        <v>0</v>
      </c>
      <c r="X647" s="1724">
        <f t="shared" si="526"/>
        <v>0</v>
      </c>
      <c r="Y647" s="1585">
        <f t="shared" si="527"/>
        <v>0</v>
      </c>
      <c r="AA647" s="1692" t="s">
        <v>897</v>
      </c>
      <c r="AB647" s="1783"/>
      <c r="AC647" s="1693"/>
      <c r="AD647" s="1790"/>
      <c r="AE647" s="2061"/>
      <c r="AF647" s="1783"/>
      <c r="AG647" s="1693"/>
      <c r="AH647" s="1790">
        <f t="shared" ref="AH647:AH664" si="552">AB647+AD647</f>
        <v>0</v>
      </c>
      <c r="AI647" s="1770">
        <f>AC647+AE647</f>
        <v>0</v>
      </c>
      <c r="AJ647" s="1790">
        <f t="shared" si="547"/>
        <v>0</v>
      </c>
      <c r="AK647" s="1807">
        <f>AE647+AG647</f>
        <v>0</v>
      </c>
      <c r="AM647" s="1944" t="s">
        <v>59</v>
      </c>
      <c r="AN647" s="1743">
        <f t="shared" si="543"/>
        <v>0</v>
      </c>
      <c r="AO647" s="1047">
        <f t="shared" si="531"/>
        <v>0</v>
      </c>
      <c r="AP647" s="1692" t="s">
        <v>188</v>
      </c>
      <c r="AQ647" s="1840">
        <f t="shared" si="550"/>
        <v>0</v>
      </c>
      <c r="AR647" s="1667">
        <f t="shared" si="551"/>
        <v>0</v>
      </c>
    </row>
    <row r="648" spans="2:44" ht="15.75" thickBot="1">
      <c r="B648" s="61"/>
      <c r="C648" s="999"/>
      <c r="D648" s="71"/>
      <c r="E648" s="1193" t="s">
        <v>670</v>
      </c>
      <c r="F648" s="233">
        <v>10.85</v>
      </c>
      <c r="G648" s="267">
        <v>10.5</v>
      </c>
      <c r="H648" s="185" t="s">
        <v>57</v>
      </c>
      <c r="I648" s="903">
        <v>0.4</v>
      </c>
      <c r="J648" s="904">
        <v>0.4</v>
      </c>
      <c r="K648" s="185" t="s">
        <v>61</v>
      </c>
      <c r="L648" s="233">
        <v>0.88</v>
      </c>
      <c r="M648" s="247">
        <v>0.88</v>
      </c>
      <c r="N648" s="91"/>
      <c r="O648" s="1049" t="s">
        <v>169</v>
      </c>
      <c r="P648" s="1724"/>
      <c r="Q648" s="1569"/>
      <c r="R648" s="1724"/>
      <c r="S648" s="1569"/>
      <c r="T648" s="1724">
        <f>L658</f>
        <v>1.44</v>
      </c>
      <c r="U648" s="1569">
        <f>M658</f>
        <v>1.44</v>
      </c>
      <c r="V648" s="1724">
        <f t="shared" si="524"/>
        <v>0</v>
      </c>
      <c r="W648" s="1586">
        <f t="shared" si="525"/>
        <v>0</v>
      </c>
      <c r="X648" s="1724">
        <f t="shared" si="526"/>
        <v>1.44</v>
      </c>
      <c r="Y648" s="1585">
        <f t="shared" si="527"/>
        <v>1.44</v>
      </c>
      <c r="AA648" s="1721" t="s">
        <v>876</v>
      </c>
      <c r="AB648" s="1867">
        <f t="shared" ref="AB648" si="553">SUM(AB646:AB647)</f>
        <v>0</v>
      </c>
      <c r="AC648" s="2056">
        <f t="shared" ref="AC648" si="554">SUM(AC646:AC647)</f>
        <v>0</v>
      </c>
      <c r="AD648" s="1865">
        <f t="shared" ref="AD648" si="555">SUM(AD646:AD647)</f>
        <v>63.15</v>
      </c>
      <c r="AE648" s="1698">
        <f t="shared" ref="AE648" si="556">SUM(AE646:AE647)</f>
        <v>54.6</v>
      </c>
      <c r="AF648" s="1867">
        <f t="shared" ref="AF648" si="557">SUM(AF646:AF647)</f>
        <v>0</v>
      </c>
      <c r="AG648" s="1866">
        <f t="shared" ref="AG648" si="558">SUM(AG646:AG647)</f>
        <v>0</v>
      </c>
      <c r="AH648" s="1796">
        <f t="shared" si="552"/>
        <v>63.15</v>
      </c>
      <c r="AI648" s="1771">
        <f>AC648+AE648</f>
        <v>54.6</v>
      </c>
      <c r="AJ648" s="1796">
        <f t="shared" si="547"/>
        <v>63.15</v>
      </c>
      <c r="AK648" s="1699">
        <f>AE648+AG648</f>
        <v>54.6</v>
      </c>
      <c r="AM648" s="1944" t="s">
        <v>169</v>
      </c>
      <c r="AN648" s="1743">
        <f t="shared" si="543"/>
        <v>1.44</v>
      </c>
      <c r="AO648" s="1047">
        <f t="shared" si="531"/>
        <v>1.44</v>
      </c>
      <c r="AP648" s="1721" t="s">
        <v>876</v>
      </c>
      <c r="AQ648" s="2124">
        <f>AB648+AD648+AF648</f>
        <v>63.15</v>
      </c>
      <c r="AR648" s="2125">
        <f>AC648+AE648+AG648</f>
        <v>54.6</v>
      </c>
    </row>
    <row r="649" spans="2:44">
      <c r="B649" s="61"/>
      <c r="C649" s="999"/>
      <c r="D649" s="71"/>
      <c r="E649" s="914" t="s">
        <v>230</v>
      </c>
      <c r="F649" s="286"/>
      <c r="G649" s="286"/>
      <c r="H649" s="186" t="s">
        <v>110</v>
      </c>
      <c r="I649" s="903"/>
      <c r="J649" s="904"/>
      <c r="K649" s="185" t="s">
        <v>103</v>
      </c>
      <c r="L649" s="903">
        <v>7.16</v>
      </c>
      <c r="M649" s="904">
        <v>7.16</v>
      </c>
      <c r="N649" s="4"/>
      <c r="O649" s="1049" t="s">
        <v>168</v>
      </c>
      <c r="P649" s="1724"/>
      <c r="Q649" s="1569"/>
      <c r="R649" s="1724"/>
      <c r="S649" s="1569"/>
      <c r="T649" s="1724"/>
      <c r="U649" s="1569"/>
      <c r="V649" s="1724">
        <f t="shared" si="524"/>
        <v>0</v>
      </c>
      <c r="W649" s="1586">
        <f t="shared" si="525"/>
        <v>0</v>
      </c>
      <c r="X649" s="1724">
        <f t="shared" si="526"/>
        <v>0</v>
      </c>
      <c r="Y649" s="1585">
        <f t="shared" si="527"/>
        <v>0</v>
      </c>
      <c r="AA649" s="1843" t="s">
        <v>387</v>
      </c>
      <c r="AB649" s="1900"/>
      <c r="AC649" s="1901"/>
      <c r="AD649" s="1899"/>
      <c r="AE649" s="1846"/>
      <c r="AF649" s="1900"/>
      <c r="AG649" s="1901"/>
      <c r="AH649" s="1788">
        <f t="shared" si="552"/>
        <v>0</v>
      </c>
      <c r="AI649" s="1852"/>
      <c r="AJ649" s="1788">
        <f t="shared" si="547"/>
        <v>0</v>
      </c>
      <c r="AK649" s="1856"/>
      <c r="AM649" s="1944" t="s">
        <v>168</v>
      </c>
      <c r="AN649" s="1743">
        <f t="shared" si="543"/>
        <v>0</v>
      </c>
      <c r="AO649" s="1047">
        <f t="shared" si="531"/>
        <v>0</v>
      </c>
      <c r="AP649" s="2126" t="s">
        <v>387</v>
      </c>
      <c r="AQ649" s="2122">
        <f t="shared" ref="AQ649:AQ651" si="559">AB649+AD649+AF649</f>
        <v>0</v>
      </c>
      <c r="AR649" s="2123">
        <f t="shared" ref="AR649:AR651" si="560">AC649+AE649+AG649</f>
        <v>0</v>
      </c>
    </row>
    <row r="650" spans="2:44" ht="15.75" thickBot="1">
      <c r="B650" s="61"/>
      <c r="C650" s="999"/>
      <c r="D650" s="71"/>
      <c r="E650" s="1258" t="s">
        <v>318</v>
      </c>
      <c r="F650" s="334"/>
      <c r="G650" s="334"/>
      <c r="H650" s="248" t="s">
        <v>93</v>
      </c>
      <c r="I650" s="233">
        <v>7</v>
      </c>
      <c r="J650" s="257">
        <v>7</v>
      </c>
      <c r="K650" s="61"/>
      <c r="M650" s="71"/>
      <c r="N650" s="4"/>
      <c r="O650" s="1049" t="s">
        <v>89</v>
      </c>
      <c r="P650" s="1724"/>
      <c r="Q650" s="1569"/>
      <c r="R650" s="1724"/>
      <c r="S650" s="1569"/>
      <c r="T650" s="1724"/>
      <c r="U650" s="1569"/>
      <c r="V650" s="1724">
        <f t="shared" si="524"/>
        <v>0</v>
      </c>
      <c r="W650" s="1586">
        <f t="shared" si="525"/>
        <v>0</v>
      </c>
      <c r="X650" s="1724">
        <f t="shared" si="526"/>
        <v>0</v>
      </c>
      <c r="Y650" s="1585">
        <f t="shared" si="527"/>
        <v>0</v>
      </c>
      <c r="AA650" s="1844" t="s">
        <v>121</v>
      </c>
      <c r="AB650" s="1902"/>
      <c r="AC650" s="1848"/>
      <c r="AD650" s="1965"/>
      <c r="AE650" s="1904"/>
      <c r="AF650" s="1902"/>
      <c r="AG650" s="1848"/>
      <c r="AH650" s="1789">
        <f t="shared" si="552"/>
        <v>0</v>
      </c>
      <c r="AI650" s="1853">
        <f>AC650+AE650</f>
        <v>0</v>
      </c>
      <c r="AJ650" s="1789">
        <f t="shared" si="547"/>
        <v>0</v>
      </c>
      <c r="AK650" s="1857">
        <f t="shared" ref="AK650:AK664" si="561">AE650+AG650</f>
        <v>0</v>
      </c>
      <c r="AM650" s="1944" t="s">
        <v>89</v>
      </c>
      <c r="AN650" s="1743">
        <f t="shared" si="543"/>
        <v>0</v>
      </c>
      <c r="AO650" s="1047">
        <f t="shared" si="531"/>
        <v>0</v>
      </c>
      <c r="AP650" s="1844" t="s">
        <v>121</v>
      </c>
      <c r="AQ650" s="1840">
        <f t="shared" si="559"/>
        <v>0</v>
      </c>
      <c r="AR650" s="1667">
        <f t="shared" si="560"/>
        <v>0</v>
      </c>
    </row>
    <row r="651" spans="2:44" ht="15.75" thickBot="1">
      <c r="B651" s="61"/>
      <c r="C651" s="999"/>
      <c r="D651" s="71"/>
      <c r="E651" s="286" t="s">
        <v>118</v>
      </c>
      <c r="F651" s="102" t="s">
        <v>119</v>
      </c>
      <c r="G651" s="465" t="s">
        <v>120</v>
      </c>
      <c r="H651" s="185" t="s">
        <v>95</v>
      </c>
      <c r="I651" s="233">
        <v>1.54</v>
      </c>
      <c r="J651" s="257">
        <v>1.54</v>
      </c>
      <c r="K651" s="61"/>
      <c r="M651" s="71"/>
      <c r="N651" s="1081"/>
      <c r="O651" s="1049" t="s">
        <v>61</v>
      </c>
      <c r="P651" s="1724">
        <f>F627+F633+I630+L632</f>
        <v>2.1799999999999997</v>
      </c>
      <c r="Q651" s="1569">
        <f>J630+M632+G633+G627</f>
        <v>2.1799999999999997</v>
      </c>
      <c r="R651" s="1724">
        <f>F644+I654+L648</f>
        <v>1.9100000000000001</v>
      </c>
      <c r="S651" s="1569">
        <f>G644+M648+J654</f>
        <v>1.9100000000000001</v>
      </c>
      <c r="T651" s="1727">
        <f>I662</f>
        <v>0.24</v>
      </c>
      <c r="U651" s="1569">
        <f>J662</f>
        <v>0.24</v>
      </c>
      <c r="V651" s="1724">
        <f>P651+R651</f>
        <v>4.09</v>
      </c>
      <c r="W651" s="1586">
        <f t="shared" si="525"/>
        <v>4.09</v>
      </c>
      <c r="X651" s="1724">
        <f t="shared" si="526"/>
        <v>2.1500000000000004</v>
      </c>
      <c r="Y651" s="1585">
        <f t="shared" si="527"/>
        <v>2.1500000000000004</v>
      </c>
      <c r="AA651" s="1845" t="s">
        <v>388</v>
      </c>
      <c r="AB651" s="1903">
        <f>L626</f>
        <v>79.680000000000007</v>
      </c>
      <c r="AC651" s="1868">
        <f>M626</f>
        <v>71</v>
      </c>
      <c r="AD651" s="1870">
        <f>L643</f>
        <v>61.7</v>
      </c>
      <c r="AE651" s="1905">
        <f>M643</f>
        <v>34.6</v>
      </c>
      <c r="AF651" s="1903"/>
      <c r="AG651" s="1868"/>
      <c r="AH651" s="1790">
        <f t="shared" si="552"/>
        <v>141.38</v>
      </c>
      <c r="AI651" s="1854">
        <f>AC651+AE651</f>
        <v>105.6</v>
      </c>
      <c r="AJ651" s="1790">
        <f t="shared" si="547"/>
        <v>61.7</v>
      </c>
      <c r="AK651" s="1858">
        <f t="shared" si="561"/>
        <v>34.6</v>
      </c>
      <c r="AM651" s="1944" t="s">
        <v>61</v>
      </c>
      <c r="AN651" s="1743">
        <f t="shared" si="543"/>
        <v>4.33</v>
      </c>
      <c r="AO651" s="1047">
        <f t="shared" si="531"/>
        <v>4.33</v>
      </c>
      <c r="AP651" s="1845" t="s">
        <v>388</v>
      </c>
      <c r="AQ651" s="1840">
        <f t="shared" si="559"/>
        <v>141.38</v>
      </c>
      <c r="AR651" s="1667">
        <f t="shared" si="560"/>
        <v>105.6</v>
      </c>
    </row>
    <row r="652" spans="2:44" ht="15.75" thickBot="1">
      <c r="B652" s="61"/>
      <c r="C652" s="999"/>
      <c r="D652" s="71"/>
      <c r="E652" s="259" t="s">
        <v>100</v>
      </c>
      <c r="F652" s="123">
        <v>20</v>
      </c>
      <c r="G652" s="735">
        <v>20</v>
      </c>
      <c r="H652" s="248" t="s">
        <v>92</v>
      </c>
      <c r="I652" s="272">
        <v>1.54</v>
      </c>
      <c r="J652" s="273">
        <v>1.54</v>
      </c>
      <c r="K652" s="57"/>
      <c r="L652" s="29"/>
      <c r="M652" s="74"/>
      <c r="N652" s="91"/>
      <c r="O652" s="1049" t="s">
        <v>143</v>
      </c>
      <c r="P652" s="1724"/>
      <c r="Q652" s="1569"/>
      <c r="R652" s="1724"/>
      <c r="S652" s="1569"/>
      <c r="T652" s="1724"/>
      <c r="U652" s="1569"/>
      <c r="V652" s="1724">
        <f t="shared" si="524"/>
        <v>0</v>
      </c>
      <c r="W652" s="1586">
        <f t="shared" si="525"/>
        <v>0</v>
      </c>
      <c r="X652" s="1724">
        <f t="shared" si="526"/>
        <v>0</v>
      </c>
      <c r="Y652" s="1585">
        <f t="shared" si="527"/>
        <v>0</v>
      </c>
      <c r="AA652" s="1850" t="s">
        <v>875</v>
      </c>
      <c r="AB652" s="1871">
        <f t="shared" ref="AB652" si="562">AB649+AB650+AB651</f>
        <v>79.680000000000007</v>
      </c>
      <c r="AC652" s="1851">
        <f t="shared" ref="AC652" si="563">AC649+AC650+AC651</f>
        <v>71</v>
      </c>
      <c r="AD652" s="1871">
        <f t="shared" ref="AD652" si="564">AD649+AD650+AD651</f>
        <v>61.7</v>
      </c>
      <c r="AE652" s="1851">
        <f t="shared" ref="AE652" si="565">AE649+AE650+AE651</f>
        <v>34.6</v>
      </c>
      <c r="AF652" s="1871">
        <f t="shared" ref="AF652" si="566">AF649+AF650+AF651</f>
        <v>0</v>
      </c>
      <c r="AG652" s="1851">
        <f t="shared" ref="AG652" si="567">AG649+AG650+AG651</f>
        <v>0</v>
      </c>
      <c r="AH652" s="1791">
        <f t="shared" si="552"/>
        <v>141.38</v>
      </c>
      <c r="AI652" s="1855">
        <f>AC652+AE652</f>
        <v>105.6</v>
      </c>
      <c r="AJ652" s="1791">
        <f t="shared" si="547"/>
        <v>61.7</v>
      </c>
      <c r="AK652" s="1859">
        <f t="shared" si="561"/>
        <v>34.6</v>
      </c>
      <c r="AM652" s="1944" t="s">
        <v>143</v>
      </c>
      <c r="AN652" s="1743">
        <f t="shared" si="543"/>
        <v>0</v>
      </c>
      <c r="AO652" s="1047">
        <f t="shared" si="531"/>
        <v>0</v>
      </c>
      <c r="AP652" s="1850" t="s">
        <v>875</v>
      </c>
      <c r="AQ652" s="2127">
        <f>AB652+AD652+AF652</f>
        <v>141.38</v>
      </c>
      <c r="AR652" s="2128">
        <f>AC652+AE652+AG652</f>
        <v>105.6</v>
      </c>
    </row>
    <row r="653" spans="2:44" ht="15.75" thickBot="1">
      <c r="B653" s="61"/>
      <c r="C653" s="999"/>
      <c r="D653" s="71"/>
      <c r="E653" s="192" t="s">
        <v>57</v>
      </c>
      <c r="F653" s="233">
        <v>22</v>
      </c>
      <c r="G653" s="411">
        <v>22</v>
      </c>
      <c r="H653" s="409" t="s">
        <v>98</v>
      </c>
      <c r="I653" s="233">
        <v>2.9999999999999997E-4</v>
      </c>
      <c r="J653" s="257">
        <v>2.9999999999999997E-4</v>
      </c>
      <c r="K653" s="473" t="s">
        <v>1011</v>
      </c>
      <c r="L653" s="38"/>
      <c r="M653" s="50"/>
      <c r="O653" s="1617" t="s">
        <v>229</v>
      </c>
      <c r="P653" s="2186">
        <f>P657+P656+P655+P654</f>
        <v>1.0003</v>
      </c>
      <c r="Q653" s="1576">
        <f>Q654+Q655+Q656+Q657</f>
        <v>1.0003</v>
      </c>
      <c r="R653" s="1911">
        <f>R654+R655+R656+R657</f>
        <v>1.7036</v>
      </c>
      <c r="S653" s="1576">
        <f>S654+S655+S656+S657</f>
        <v>1.7036</v>
      </c>
      <c r="T653" s="1747">
        <f>T654+T655+T656+T657</f>
        <v>5.0000000000000001E-4</v>
      </c>
      <c r="U653" s="1576">
        <f>U654+U655+U656+U657</f>
        <v>5.0000000000000001E-4</v>
      </c>
      <c r="V653" s="1912">
        <f>P653+R653</f>
        <v>2.7039</v>
      </c>
      <c r="W653" s="1586">
        <f t="shared" si="525"/>
        <v>2.7039</v>
      </c>
      <c r="X653" s="1979">
        <f>R653+T653</f>
        <v>1.7040999999999999</v>
      </c>
      <c r="Y653" s="1679">
        <f t="shared" si="527"/>
        <v>1.7040999999999999</v>
      </c>
      <c r="AA653" s="1695" t="s">
        <v>208</v>
      </c>
      <c r="AB653" s="1784"/>
      <c r="AC653" s="1696"/>
      <c r="AD653" s="1784"/>
      <c r="AE653" s="1697"/>
      <c r="AF653" s="1784"/>
      <c r="AG653" s="1758"/>
      <c r="AH653" s="1788">
        <f t="shared" si="552"/>
        <v>0</v>
      </c>
      <c r="AI653" s="1772">
        <f>AC653+AE653</f>
        <v>0</v>
      </c>
      <c r="AJ653" s="1788">
        <f t="shared" si="547"/>
        <v>0</v>
      </c>
      <c r="AK653" s="1603">
        <f t="shared" si="561"/>
        <v>0</v>
      </c>
      <c r="AM653" s="1948" t="s">
        <v>229</v>
      </c>
      <c r="AN653" s="2090">
        <f>P653+R653+T653</f>
        <v>2.7044000000000001</v>
      </c>
      <c r="AO653" s="1047">
        <f t="shared" si="531"/>
        <v>2.7044000000000001</v>
      </c>
      <c r="AP653" s="2129" t="s">
        <v>208</v>
      </c>
      <c r="AQ653" s="2122">
        <f t="shared" ref="AQ653:AQ660" si="568">AB653+AD653+AF653</f>
        <v>0</v>
      </c>
      <c r="AR653" s="2123">
        <f t="shared" ref="AR653:AR660" si="569">AC653+AE653+AG653</f>
        <v>0</v>
      </c>
    </row>
    <row r="654" spans="2:44" ht="15.75" thickBot="1">
      <c r="B654" s="61"/>
      <c r="C654" s="999"/>
      <c r="D654" s="71"/>
      <c r="E654" s="503" t="s">
        <v>420</v>
      </c>
      <c r="F654" s="498">
        <v>0.2</v>
      </c>
      <c r="G654" s="1249">
        <v>0.2</v>
      </c>
      <c r="H654" s="185" t="s">
        <v>97</v>
      </c>
      <c r="I654" s="233">
        <v>0.14000000000000001</v>
      </c>
      <c r="J654" s="247">
        <v>0.14000000000000001</v>
      </c>
      <c r="K654" s="263" t="s">
        <v>118</v>
      </c>
      <c r="L654" s="97" t="s">
        <v>119</v>
      </c>
      <c r="M654" s="135" t="s">
        <v>120</v>
      </c>
      <c r="O654" s="1618" t="s">
        <v>222</v>
      </c>
      <c r="P654" s="1971">
        <f>I629+L631</f>
        <v>1.2999999999999999E-3</v>
      </c>
      <c r="Q654" s="1572">
        <f>J629+M631</f>
        <v>1.2999999999999999E-3</v>
      </c>
      <c r="R654" s="1971">
        <f>F645+I653</f>
        <v>1.3599999999999999E-2</v>
      </c>
      <c r="S654" s="1572">
        <f>G645+J653</f>
        <v>1.3599999999999999E-2</v>
      </c>
      <c r="T654" s="1971"/>
      <c r="U654" s="1572"/>
      <c r="V654" s="1775">
        <f>P654+R654</f>
        <v>1.49E-2</v>
      </c>
      <c r="W654" s="1572"/>
      <c r="X654" s="1725">
        <f t="shared" si="526"/>
        <v>1.3599999999999999E-2</v>
      </c>
      <c r="Y654" s="1607"/>
      <c r="AA654" s="1663" t="s">
        <v>81</v>
      </c>
      <c r="AB654" s="1782"/>
      <c r="AC654" s="1599"/>
      <c r="AD654" s="1782"/>
      <c r="AE654" s="1670"/>
      <c r="AF654" s="1782"/>
      <c r="AG654" s="1682"/>
      <c r="AH654" s="1789">
        <f t="shared" si="552"/>
        <v>0</v>
      </c>
      <c r="AI654" s="1772">
        <f t="shared" ref="AI654:AI664" si="570">AC654+AE654</f>
        <v>0</v>
      </c>
      <c r="AJ654" s="1789">
        <f t="shared" si="547"/>
        <v>0</v>
      </c>
      <c r="AK654" s="1645">
        <f t="shared" si="561"/>
        <v>0</v>
      </c>
      <c r="AM654" s="1949" t="s">
        <v>222</v>
      </c>
      <c r="AN654" s="2076">
        <f t="shared" ref="AN654:AN657" si="571">P654+R654+T654</f>
        <v>1.49E-2</v>
      </c>
      <c r="AO654" s="1594">
        <f t="shared" ref="AO654:AO657" si="572">Q654+S654+U654</f>
        <v>1.49E-2</v>
      </c>
      <c r="AP654" s="1663" t="s">
        <v>81</v>
      </c>
      <c r="AQ654" s="1840">
        <f t="shared" si="568"/>
        <v>0</v>
      </c>
      <c r="AR654" s="1667">
        <f t="shared" si="569"/>
        <v>0</v>
      </c>
    </row>
    <row r="655" spans="2:44" ht="15.75" thickBot="1">
      <c r="B655" s="1139" t="s">
        <v>583</v>
      </c>
      <c r="C655" s="1197"/>
      <c r="D655" s="1137">
        <f>D637+D638+D639+D642+D644+D645+D646+140+40</f>
        <v>1020</v>
      </c>
      <c r="E655" s="500" t="s">
        <v>94</v>
      </c>
      <c r="F655" s="251">
        <v>190</v>
      </c>
      <c r="G655" s="975">
        <v>190</v>
      </c>
      <c r="H655" s="249" t="s">
        <v>94</v>
      </c>
      <c r="I655" s="1169">
        <v>7</v>
      </c>
      <c r="J655" s="1170">
        <v>7</v>
      </c>
      <c r="K655" s="480" t="s">
        <v>228</v>
      </c>
      <c r="L655" s="889">
        <v>124.85</v>
      </c>
      <c r="M655" s="421">
        <v>110</v>
      </c>
      <c r="O655" s="1619" t="s">
        <v>679</v>
      </c>
      <c r="P655" s="1972">
        <f>M635</f>
        <v>0.999</v>
      </c>
      <c r="Q655" s="1573">
        <f>M635</f>
        <v>0.999</v>
      </c>
      <c r="R655" s="1972">
        <f>G647</f>
        <v>1.49</v>
      </c>
      <c r="S655" s="1573">
        <f>G647</f>
        <v>1.49</v>
      </c>
      <c r="T655" s="1972"/>
      <c r="U655" s="1573"/>
      <c r="V655" s="1775">
        <f t="shared" ref="V655:V656" si="573">P655+R655</f>
        <v>2.4889999999999999</v>
      </c>
      <c r="W655" s="1573"/>
      <c r="X655" s="1725">
        <f t="shared" si="526"/>
        <v>1.49</v>
      </c>
      <c r="Y655" s="1608"/>
      <c r="AA655" s="1663" t="s">
        <v>83</v>
      </c>
      <c r="AB655" s="1785"/>
      <c r="AC655" s="1639"/>
      <c r="AD655" s="1785"/>
      <c r="AE655" s="1671"/>
      <c r="AF655" s="1785">
        <f>F661</f>
        <v>10</v>
      </c>
      <c r="AG655" s="1759">
        <f>G661</f>
        <v>10</v>
      </c>
      <c r="AH655" s="1789">
        <f t="shared" si="552"/>
        <v>0</v>
      </c>
      <c r="AI655" s="1772">
        <f t="shared" si="570"/>
        <v>0</v>
      </c>
      <c r="AJ655" s="1789">
        <f t="shared" si="547"/>
        <v>10</v>
      </c>
      <c r="AK655" s="1645">
        <f t="shared" si="561"/>
        <v>10</v>
      </c>
      <c r="AM655" s="1950" t="s">
        <v>679</v>
      </c>
      <c r="AN655" s="2076">
        <f t="shared" si="571"/>
        <v>2.4889999999999999</v>
      </c>
      <c r="AO655" s="1594">
        <f t="shared" si="572"/>
        <v>2.4889999999999999</v>
      </c>
      <c r="AP655" s="1663" t="s">
        <v>83</v>
      </c>
      <c r="AQ655" s="1840">
        <f t="shared" si="568"/>
        <v>10</v>
      </c>
      <c r="AR655" s="1667">
        <f t="shared" si="569"/>
        <v>10</v>
      </c>
    </row>
    <row r="656" spans="2:44" ht="15.75" thickBot="1">
      <c r="B656" s="403"/>
      <c r="C656" s="162" t="s">
        <v>324</v>
      </c>
      <c r="D656" s="835"/>
      <c r="E656" s="2391" t="s">
        <v>784</v>
      </c>
      <c r="F656" s="38"/>
      <c r="G656" s="38"/>
      <c r="H656" s="1261" t="s">
        <v>673</v>
      </c>
      <c r="I656" s="312"/>
      <c r="J656" s="50"/>
      <c r="K656" s="2390" t="s">
        <v>932</v>
      </c>
      <c r="L656" s="969"/>
      <c r="M656" s="50"/>
      <c r="O656" s="1620" t="s">
        <v>449</v>
      </c>
      <c r="P656" s="1982"/>
      <c r="Q656" s="1574"/>
      <c r="R656" s="1730"/>
      <c r="S656" s="1574"/>
      <c r="T656" s="1982">
        <f>I661</f>
        <v>5.0000000000000001E-4</v>
      </c>
      <c r="U656" s="1574">
        <f>J661</f>
        <v>5.0000000000000001E-4</v>
      </c>
      <c r="V656" s="1775">
        <f t="shared" si="573"/>
        <v>0</v>
      </c>
      <c r="W656" s="1574"/>
      <c r="X656" s="1725">
        <f t="shared" si="526"/>
        <v>5.0000000000000001E-4</v>
      </c>
      <c r="Y656" s="1609"/>
      <c r="AA656" s="1663" t="s">
        <v>84</v>
      </c>
      <c r="AB656" s="1782"/>
      <c r="AC656" s="1639"/>
      <c r="AD656" s="1782"/>
      <c r="AE656" s="1671"/>
      <c r="AF656" s="1782"/>
      <c r="AG656" s="1759"/>
      <c r="AH656" s="1789">
        <f t="shared" si="552"/>
        <v>0</v>
      </c>
      <c r="AI656" s="1772">
        <f t="shared" si="570"/>
        <v>0</v>
      </c>
      <c r="AJ656" s="1789">
        <f t="shared" si="547"/>
        <v>0</v>
      </c>
      <c r="AK656" s="1645">
        <f t="shared" si="561"/>
        <v>0</v>
      </c>
      <c r="AM656" s="1951" t="s">
        <v>449</v>
      </c>
      <c r="AN656" s="2076">
        <f t="shared" si="571"/>
        <v>5.0000000000000001E-4</v>
      </c>
      <c r="AO656" s="1594">
        <f t="shared" si="572"/>
        <v>5.0000000000000001E-4</v>
      </c>
      <c r="AP656" s="1663" t="s">
        <v>84</v>
      </c>
      <c r="AQ656" s="1840">
        <f t="shared" si="568"/>
        <v>0</v>
      </c>
      <c r="AR656" s="1667">
        <f t="shared" si="569"/>
        <v>0</v>
      </c>
    </row>
    <row r="657" spans="2:48" ht="15.75" thickBot="1">
      <c r="B657" s="156" t="s">
        <v>18</v>
      </c>
      <c r="C657" s="283" t="s">
        <v>932</v>
      </c>
      <c r="D657" s="285">
        <v>200</v>
      </c>
      <c r="E657" s="334" t="s">
        <v>118</v>
      </c>
      <c r="F657" s="252" t="s">
        <v>119</v>
      </c>
      <c r="G657" s="253" t="s">
        <v>120</v>
      </c>
      <c r="H657" s="414" t="s">
        <v>118</v>
      </c>
      <c r="I657" s="252" t="s">
        <v>119</v>
      </c>
      <c r="J657" s="253" t="s">
        <v>120</v>
      </c>
      <c r="K657" s="339" t="s">
        <v>118</v>
      </c>
      <c r="L657" s="102" t="s">
        <v>119</v>
      </c>
      <c r="M657" s="1084" t="s">
        <v>120</v>
      </c>
      <c r="O657" s="1942" t="s">
        <v>167</v>
      </c>
      <c r="P657" s="1983"/>
      <c r="Q657" s="1574"/>
      <c r="R657" s="1725">
        <f>F654</f>
        <v>0.2</v>
      </c>
      <c r="S657" s="1574">
        <f>G654</f>
        <v>0.2</v>
      </c>
      <c r="T657" s="1983"/>
      <c r="U657" s="1574"/>
      <c r="V657" s="1976">
        <f>P657+R657</f>
        <v>0.2</v>
      </c>
      <c r="W657" s="1574"/>
      <c r="X657" s="1976">
        <f t="shared" si="526"/>
        <v>0.2</v>
      </c>
      <c r="Y657" s="1609"/>
      <c r="AA657" s="1663" t="s">
        <v>85</v>
      </c>
      <c r="AB657" s="1782"/>
      <c r="AC657" s="1599"/>
      <c r="AD657" s="1782"/>
      <c r="AE657" s="1670"/>
      <c r="AF657" s="1782"/>
      <c r="AG657" s="1682"/>
      <c r="AH657" s="1789">
        <f t="shared" si="552"/>
        <v>0</v>
      </c>
      <c r="AI657" s="1772">
        <f t="shared" si="570"/>
        <v>0</v>
      </c>
      <c r="AJ657" s="1789">
        <f t="shared" si="547"/>
        <v>0</v>
      </c>
      <c r="AK657" s="1645">
        <f t="shared" si="561"/>
        <v>0</v>
      </c>
      <c r="AM657" s="1953" t="s">
        <v>167</v>
      </c>
      <c r="AN657" s="2076">
        <f t="shared" si="571"/>
        <v>0.2</v>
      </c>
      <c r="AO657" s="1594">
        <f t="shared" si="572"/>
        <v>0.2</v>
      </c>
      <c r="AP657" s="1663" t="s">
        <v>85</v>
      </c>
      <c r="AQ657" s="1840">
        <f t="shared" si="568"/>
        <v>0</v>
      </c>
      <c r="AR657" s="1667">
        <f t="shared" si="569"/>
        <v>0</v>
      </c>
    </row>
    <row r="658" spans="2:48" ht="15.75" thickBot="1">
      <c r="B658" s="156" t="s">
        <v>674</v>
      </c>
      <c r="C658" s="283" t="s">
        <v>671</v>
      </c>
      <c r="D658" s="2183" t="s">
        <v>927</v>
      </c>
      <c r="E658" s="100" t="s">
        <v>79</v>
      </c>
      <c r="F658" s="123">
        <v>99</v>
      </c>
      <c r="G658" s="426">
        <v>79</v>
      </c>
      <c r="H658" s="216" t="s">
        <v>93</v>
      </c>
      <c r="I658" s="123">
        <v>37.46</v>
      </c>
      <c r="J658" s="735">
        <v>37.46</v>
      </c>
      <c r="K658" s="100" t="s">
        <v>169</v>
      </c>
      <c r="L658" s="123">
        <v>1.44</v>
      </c>
      <c r="M658" s="131">
        <v>1.44</v>
      </c>
      <c r="O658" s="195" t="s">
        <v>116</v>
      </c>
      <c r="P658" s="2060"/>
      <c r="Q658" s="2022"/>
      <c r="R658" s="2172">
        <f>L647</f>
        <v>11</v>
      </c>
      <c r="S658" s="2022">
        <f>M647</f>
        <v>11</v>
      </c>
      <c r="T658" s="1610">
        <f>F664</f>
        <v>8</v>
      </c>
      <c r="U658" s="2022">
        <f>G664</f>
        <v>8</v>
      </c>
      <c r="V658" s="1837">
        <f>P658+R658</f>
        <v>11</v>
      </c>
      <c r="W658" s="2022"/>
      <c r="X658" s="1837">
        <f>R658+T658</f>
        <v>19</v>
      </c>
      <c r="Y658" s="1611"/>
      <c r="AA658" s="1663" t="s">
        <v>87</v>
      </c>
      <c r="AB658" s="2092"/>
      <c r="AC658" s="1640"/>
      <c r="AD658" s="1782"/>
      <c r="AE658" s="1670"/>
      <c r="AF658" s="1782"/>
      <c r="AG658" s="1682"/>
      <c r="AH658" s="1789">
        <f t="shared" si="552"/>
        <v>0</v>
      </c>
      <c r="AI658" s="1772">
        <f t="shared" si="570"/>
        <v>0</v>
      </c>
      <c r="AJ658" s="1789">
        <f t="shared" si="547"/>
        <v>0</v>
      </c>
      <c r="AK658" s="1645">
        <f t="shared" si="561"/>
        <v>0</v>
      </c>
      <c r="AM658" s="573" t="s">
        <v>116</v>
      </c>
      <c r="AN658" s="2078">
        <f>P658+R658+T658</f>
        <v>19</v>
      </c>
      <c r="AO658" s="857">
        <f>Q658+S658+U658</f>
        <v>19</v>
      </c>
      <c r="AP658" s="1663" t="s">
        <v>87</v>
      </c>
      <c r="AQ658" s="1840">
        <f t="shared" si="568"/>
        <v>0</v>
      </c>
      <c r="AR658" s="1667">
        <f t="shared" si="569"/>
        <v>0</v>
      </c>
    </row>
    <row r="659" spans="2:48">
      <c r="B659" s="168"/>
      <c r="C659" s="1099" t="s">
        <v>672</v>
      </c>
      <c r="D659" s="11"/>
      <c r="E659" s="249" t="s">
        <v>95</v>
      </c>
      <c r="F659" s="276">
        <v>2.7</v>
      </c>
      <c r="G659" s="267">
        <v>2.7</v>
      </c>
      <c r="H659" s="241" t="s">
        <v>95</v>
      </c>
      <c r="I659" s="256">
        <v>1.3</v>
      </c>
      <c r="J659" s="267">
        <v>1.3</v>
      </c>
      <c r="K659" s="249" t="s">
        <v>68</v>
      </c>
      <c r="L659" s="251">
        <v>200</v>
      </c>
      <c r="M659" s="255">
        <v>200</v>
      </c>
      <c r="Q659" s="1570"/>
      <c r="S659" s="1570"/>
      <c r="U659" s="1570"/>
      <c r="W659" s="1570"/>
      <c r="Y659" s="1570"/>
      <c r="AA659" s="1663" t="s">
        <v>88</v>
      </c>
      <c r="AB659" s="1782"/>
      <c r="AC659" s="1599"/>
      <c r="AD659" s="1782"/>
      <c r="AE659" s="1670"/>
      <c r="AF659" s="1782"/>
      <c r="AG659" s="1682"/>
      <c r="AH659" s="1789">
        <f t="shared" si="552"/>
        <v>0</v>
      </c>
      <c r="AI659" s="1772">
        <f t="shared" si="570"/>
        <v>0</v>
      </c>
      <c r="AJ659" s="1789">
        <f t="shared" si="547"/>
        <v>0</v>
      </c>
      <c r="AK659" s="1645">
        <f t="shared" si="561"/>
        <v>0</v>
      </c>
      <c r="AP659" s="1663" t="s">
        <v>88</v>
      </c>
      <c r="AQ659" s="1840">
        <f t="shared" si="568"/>
        <v>0</v>
      </c>
      <c r="AR659" s="1667">
        <f t="shared" si="569"/>
        <v>0</v>
      </c>
    </row>
    <row r="660" spans="2:48" ht="15.75" thickBot="1">
      <c r="B660" s="303" t="s">
        <v>10</v>
      </c>
      <c r="C660" s="241" t="s">
        <v>792</v>
      </c>
      <c r="D660" s="239">
        <v>24</v>
      </c>
      <c r="E660" s="185" t="s">
        <v>93</v>
      </c>
      <c r="F660" s="46">
        <v>20</v>
      </c>
      <c r="G660" s="1532">
        <v>20</v>
      </c>
      <c r="H660" s="167" t="s">
        <v>92</v>
      </c>
      <c r="I660" s="233">
        <v>1.8</v>
      </c>
      <c r="J660" s="193">
        <v>1.8</v>
      </c>
      <c r="K660" s="186" t="s">
        <v>57</v>
      </c>
      <c r="L660" s="254">
        <v>3</v>
      </c>
      <c r="M660" s="293">
        <v>3</v>
      </c>
      <c r="O660" s="740"/>
      <c r="Q660" s="1570"/>
      <c r="S660" s="1570"/>
      <c r="U660" s="1570"/>
      <c r="W660" s="1570"/>
      <c r="Y660" s="1570"/>
      <c r="AA660" s="1685" t="s">
        <v>90</v>
      </c>
      <c r="AB660" s="1927"/>
      <c r="AC660" s="1907"/>
      <c r="AD660" s="1783">
        <f>I638</f>
        <v>30</v>
      </c>
      <c r="AE660" s="1687">
        <f>J638</f>
        <v>30</v>
      </c>
      <c r="AF660" s="1783"/>
      <c r="AG660" s="1760"/>
      <c r="AH660" s="1790">
        <f t="shared" si="552"/>
        <v>30</v>
      </c>
      <c r="AI660" s="1772">
        <f t="shared" si="570"/>
        <v>30</v>
      </c>
      <c r="AJ660" s="1790">
        <f t="shared" si="547"/>
        <v>30</v>
      </c>
      <c r="AK660" s="1805">
        <f t="shared" si="561"/>
        <v>30</v>
      </c>
      <c r="AP660" s="1685" t="s">
        <v>90</v>
      </c>
      <c r="AQ660" s="1840">
        <f t="shared" si="568"/>
        <v>30</v>
      </c>
      <c r="AR660" s="1667">
        <f t="shared" si="569"/>
        <v>30</v>
      </c>
    </row>
    <row r="661" spans="2:48" ht="15.75" thickBot="1">
      <c r="B661" s="61"/>
      <c r="C661" s="999"/>
      <c r="E661" s="185" t="s">
        <v>451</v>
      </c>
      <c r="F661" s="276">
        <v>10</v>
      </c>
      <c r="G661" s="267">
        <v>10</v>
      </c>
      <c r="H661" s="492" t="s">
        <v>449</v>
      </c>
      <c r="I661" s="233">
        <v>5.0000000000000001E-4</v>
      </c>
      <c r="J661" s="411">
        <v>5.0000000000000001E-4</v>
      </c>
      <c r="K661" s="185" t="s">
        <v>94</v>
      </c>
      <c r="L661" s="233">
        <v>10</v>
      </c>
      <c r="M661" s="235">
        <v>10</v>
      </c>
      <c r="O661" s="2547"/>
      <c r="Q661" s="1570"/>
      <c r="S661" s="1570"/>
      <c r="U661" s="1581"/>
      <c r="W661" s="1570"/>
      <c r="Y661" s="1570"/>
      <c r="AA661" s="1688" t="s">
        <v>877</v>
      </c>
      <c r="AB661" s="1786">
        <f t="shared" ref="AB661" si="574">SUM(AB653:AB660)</f>
        <v>0</v>
      </c>
      <c r="AC661" s="1689">
        <f t="shared" ref="AC661" si="575">SUM(AC653:AC660)</f>
        <v>0</v>
      </c>
      <c r="AD661" s="1906">
        <f t="shared" ref="AD661" si="576">SUM(AD653:AD660)</f>
        <v>30</v>
      </c>
      <c r="AE661" s="1690">
        <f t="shared" ref="AE661" si="577">SUM(AE653:AE660)</f>
        <v>30</v>
      </c>
      <c r="AF661" s="1786">
        <f t="shared" ref="AF661" si="578">SUM(AF653:AF660)</f>
        <v>10</v>
      </c>
      <c r="AG661" s="1761">
        <f t="shared" ref="AG661" si="579">SUM(AG653:AG660)</f>
        <v>10</v>
      </c>
      <c r="AH661" s="1797">
        <f t="shared" si="552"/>
        <v>30</v>
      </c>
      <c r="AI661" s="1816">
        <f t="shared" si="570"/>
        <v>30</v>
      </c>
      <c r="AJ661" s="1797">
        <f t="shared" si="547"/>
        <v>40</v>
      </c>
      <c r="AK661" s="1691">
        <f t="shared" si="561"/>
        <v>40</v>
      </c>
      <c r="AP661" s="1688" t="s">
        <v>877</v>
      </c>
      <c r="AQ661" s="2130">
        <f>AB661+AD661+AF661</f>
        <v>40</v>
      </c>
      <c r="AR661" s="1672">
        <f>AC661+AE661+AG661</f>
        <v>40</v>
      </c>
      <c r="AT661" s="116"/>
    </row>
    <row r="662" spans="2:48">
      <c r="B662" s="61"/>
      <c r="C662" s="999"/>
      <c r="E662" s="185" t="s">
        <v>225</v>
      </c>
      <c r="F662" s="256" t="s">
        <v>997</v>
      </c>
      <c r="G662" s="267">
        <v>4</v>
      </c>
      <c r="H662" s="241" t="s">
        <v>97</v>
      </c>
      <c r="I662" s="233">
        <v>0.24</v>
      </c>
      <c r="J662" s="411">
        <v>0.24</v>
      </c>
      <c r="K662" s="417"/>
      <c r="L662" s="32"/>
      <c r="M662" s="989"/>
      <c r="O662" s="19"/>
      <c r="Q662" s="1570"/>
      <c r="S662" s="1570"/>
      <c r="U662" s="1570"/>
      <c r="W662" s="1570"/>
      <c r="Y662" s="1570"/>
      <c r="AA662" s="2062" t="s">
        <v>93</v>
      </c>
      <c r="AB662" s="1784"/>
      <c r="AC662" s="2064"/>
      <c r="AD662" s="1788"/>
      <c r="AE662" s="2067"/>
      <c r="AF662" s="1784"/>
      <c r="AG662" s="2181"/>
      <c r="AH662" s="1788">
        <f t="shared" si="552"/>
        <v>0</v>
      </c>
      <c r="AI662" s="2069">
        <f t="shared" si="570"/>
        <v>0</v>
      </c>
      <c r="AJ662" s="1788">
        <f t="shared" si="547"/>
        <v>0</v>
      </c>
      <c r="AK662" s="1709">
        <f t="shared" si="561"/>
        <v>0</v>
      </c>
      <c r="AP662" s="2062" t="s">
        <v>93</v>
      </c>
      <c r="AQ662" s="2117">
        <f t="shared" ref="AQ662:AQ663" si="580">AB662+AD662+AF662</f>
        <v>0</v>
      </c>
      <c r="AR662" s="1708">
        <f t="shared" ref="AR662:AR663" si="581">AC662+AE662+AG662</f>
        <v>0</v>
      </c>
      <c r="AT662" s="142"/>
    </row>
    <row r="663" spans="2:48" ht="15.75" thickBot="1">
      <c r="B663" s="61"/>
      <c r="C663" s="999"/>
      <c r="E663" s="185" t="s">
        <v>106</v>
      </c>
      <c r="F663" s="276">
        <v>12.4</v>
      </c>
      <c r="G663" s="267">
        <v>12</v>
      </c>
      <c r="H663" s="1219" t="s">
        <v>57</v>
      </c>
      <c r="I663" s="254">
        <v>0.4</v>
      </c>
      <c r="J663" s="975">
        <v>0.4</v>
      </c>
      <c r="K663" s="417"/>
      <c r="L663" s="110"/>
      <c r="M663" s="977"/>
      <c r="O663" s="19"/>
      <c r="Q663" s="1570"/>
      <c r="S663" s="1570"/>
      <c r="U663" s="367"/>
      <c r="W663" s="367"/>
      <c r="Y663" s="1581"/>
      <c r="AA663" s="2063" t="s">
        <v>908</v>
      </c>
      <c r="AB663" s="1783"/>
      <c r="AC663" s="2065"/>
      <c r="AD663" s="1790"/>
      <c r="AE663" s="2068"/>
      <c r="AF663" s="1783"/>
      <c r="AG663" s="2182"/>
      <c r="AH663" s="1790">
        <f t="shared" si="552"/>
        <v>0</v>
      </c>
      <c r="AI663" s="1767">
        <f t="shared" si="570"/>
        <v>0</v>
      </c>
      <c r="AJ663" s="1790">
        <f t="shared" si="547"/>
        <v>0</v>
      </c>
      <c r="AK663" s="1701">
        <f t="shared" si="561"/>
        <v>0</v>
      </c>
      <c r="AP663" s="2063" t="s">
        <v>908</v>
      </c>
      <c r="AQ663" s="2074">
        <f t="shared" si="580"/>
        <v>0</v>
      </c>
      <c r="AR663" s="1700">
        <f t="shared" si="581"/>
        <v>0</v>
      </c>
      <c r="AT663" s="137"/>
      <c r="AV663" s="94"/>
    </row>
    <row r="664" spans="2:48" ht="15.75" thickBot="1">
      <c r="B664" s="61"/>
      <c r="C664" s="999"/>
      <c r="E664" s="390" t="s">
        <v>116</v>
      </c>
      <c r="F664" s="251">
        <v>8</v>
      </c>
      <c r="G664" s="482">
        <v>8</v>
      </c>
      <c r="H664" s="1219" t="s">
        <v>94</v>
      </c>
      <c r="I664" s="233">
        <v>5.54</v>
      </c>
      <c r="J664" s="411">
        <v>5.54</v>
      </c>
      <c r="K664" s="61"/>
      <c r="M664" s="71"/>
      <c r="O664" s="155"/>
      <c r="Q664" s="1570"/>
      <c r="S664" s="1570"/>
      <c r="U664" s="367"/>
      <c r="W664" s="367"/>
      <c r="Y664" s="367"/>
      <c r="AA664" s="1720" t="s">
        <v>909</v>
      </c>
      <c r="AB664" s="2070">
        <f t="shared" ref="AB664" si="582">SUM(AB662:AB663)</f>
        <v>0</v>
      </c>
      <c r="AC664" s="2066">
        <f t="shared" ref="AC664" si="583">SUM(AC662:AC663)</f>
        <v>0</v>
      </c>
      <c r="AD664" s="2071">
        <f t="shared" ref="AD664" si="584">SUM(AD662:AD663)</f>
        <v>0</v>
      </c>
      <c r="AE664" s="1705">
        <f t="shared" ref="AE664" si="585">SUM(AE662:AE663)</f>
        <v>0</v>
      </c>
      <c r="AF664" s="2070">
        <f t="shared" ref="AF664" si="586">SUM(AF662:AF663)</f>
        <v>0</v>
      </c>
      <c r="AG664" s="2072">
        <f t="shared" ref="AG664" si="587">SUM(AG662:AG663)</f>
        <v>0</v>
      </c>
      <c r="AH664" s="1795">
        <f t="shared" si="552"/>
        <v>0</v>
      </c>
      <c r="AI664" s="1768">
        <f t="shared" si="570"/>
        <v>0</v>
      </c>
      <c r="AJ664" s="1795">
        <f t="shared" si="547"/>
        <v>0</v>
      </c>
      <c r="AK664" s="1706">
        <f t="shared" si="561"/>
        <v>0</v>
      </c>
      <c r="AP664" s="1720" t="s">
        <v>909</v>
      </c>
      <c r="AQ664" s="2075">
        <f>AB664+AD664+AF664</f>
        <v>0</v>
      </c>
      <c r="AR664" s="1705">
        <f>AC664+AE664+AG664</f>
        <v>0</v>
      </c>
      <c r="AT664" s="142"/>
    </row>
    <row r="665" spans="2:48" ht="15.75" thickBot="1">
      <c r="B665" s="1139" t="s">
        <v>584</v>
      </c>
      <c r="C665" s="1136"/>
      <c r="D665" s="1182">
        <f>D657+D660+90+40</f>
        <v>354</v>
      </c>
      <c r="E665" s="195" t="s">
        <v>103</v>
      </c>
      <c r="F665" s="200">
        <v>3</v>
      </c>
      <c r="G665" s="1213">
        <v>3</v>
      </c>
      <c r="H665" s="423"/>
      <c r="I665" s="29"/>
      <c r="J665" s="29"/>
      <c r="K665" s="57"/>
      <c r="L665" s="29"/>
      <c r="M665" s="74"/>
      <c r="O665" s="4"/>
      <c r="Q665" s="367"/>
      <c r="S665" s="1581"/>
      <c r="U665" s="367"/>
      <c r="W665" s="367"/>
      <c r="Y665" s="367"/>
      <c r="AB665" s="62"/>
      <c r="AD665" s="62"/>
      <c r="AE665" s="1570"/>
      <c r="AF665" s="786"/>
      <c r="AG665" s="1570"/>
      <c r="AH665" s="62"/>
      <c r="AI665" s="282"/>
      <c r="AJ665" s="62"/>
      <c r="AK665" s="1570"/>
      <c r="AT665" s="142"/>
    </row>
    <row r="666" spans="2:48">
      <c r="O666" s="4"/>
      <c r="Q666" s="367"/>
      <c r="S666" s="1581"/>
      <c r="U666" s="1570"/>
      <c r="W666" s="1570"/>
      <c r="Y666" s="1570"/>
      <c r="AB666" s="62"/>
      <c r="AD666" s="62"/>
      <c r="AE666" s="1570"/>
      <c r="AF666" s="786"/>
      <c r="AG666" s="1570"/>
      <c r="AH666" s="62"/>
      <c r="AI666" s="282"/>
      <c r="AJ666" s="62"/>
      <c r="AK666" s="1570"/>
      <c r="AT666" s="142"/>
    </row>
    <row r="667" spans="2:48">
      <c r="E667" s="176"/>
      <c r="O667" s="4"/>
      <c r="Q667" s="367"/>
      <c r="S667" s="1581"/>
      <c r="U667" s="1570"/>
      <c r="W667" s="1570"/>
      <c r="Y667" s="1570"/>
      <c r="AB667" s="62"/>
      <c r="AD667" s="62"/>
      <c r="AE667" s="1570"/>
      <c r="AF667" s="786"/>
      <c r="AG667" s="1570"/>
      <c r="AH667" s="62"/>
      <c r="AI667" s="282"/>
      <c r="AJ667" s="62"/>
      <c r="AK667" s="1570"/>
      <c r="AT667" s="142"/>
      <c r="AV667" s="48"/>
    </row>
    <row r="668" spans="2:48">
      <c r="E668" s="48"/>
      <c r="F668" s="8"/>
      <c r="G668" s="142"/>
      <c r="Q668" s="1570"/>
      <c r="S668" s="1570"/>
      <c r="U668" s="367"/>
      <c r="W668" s="1570"/>
      <c r="Y668" s="1570"/>
      <c r="AB668" s="62"/>
      <c r="AD668" s="62"/>
      <c r="AE668" s="1570"/>
      <c r="AF668" s="786"/>
      <c r="AG668" s="1570"/>
      <c r="AH668" s="62"/>
      <c r="AI668" s="282"/>
      <c r="AJ668" s="62"/>
      <c r="AK668" s="1570"/>
    </row>
    <row r="669" spans="2:48">
      <c r="B669" s="32"/>
      <c r="C669" s="4"/>
      <c r="D669" s="9"/>
      <c r="H669" s="4"/>
      <c r="I669" s="8"/>
      <c r="Q669" s="1570"/>
      <c r="S669" s="1570"/>
      <c r="U669" s="367"/>
      <c r="W669" s="1570"/>
      <c r="Y669" s="1570"/>
      <c r="AB669" s="62"/>
      <c r="AD669" s="62"/>
      <c r="AE669" s="1570"/>
      <c r="AF669" s="786"/>
      <c r="AG669" s="1570"/>
      <c r="AH669" s="62"/>
      <c r="AI669" s="282"/>
      <c r="AJ669" s="62"/>
      <c r="AK669" s="1570"/>
    </row>
    <row r="670" spans="2:48">
      <c r="B670" s="32"/>
      <c r="C670" s="4"/>
      <c r="D670" s="9"/>
      <c r="H670" s="4"/>
      <c r="I670" s="116"/>
      <c r="Q670" s="1570"/>
      <c r="S670" s="1570"/>
      <c r="U670" s="1570"/>
      <c r="W670" s="1570"/>
      <c r="Y670" s="1570"/>
      <c r="AB670" s="62"/>
      <c r="AD670" s="62"/>
      <c r="AE670" s="1570"/>
      <c r="AF670" s="786"/>
      <c r="AG670" s="1570"/>
      <c r="AH670" s="62"/>
      <c r="AI670" s="282"/>
      <c r="AJ670" s="62"/>
      <c r="AK670" s="1570"/>
    </row>
    <row r="671" spans="2:48">
      <c r="H671" s="4"/>
      <c r="I671" s="8"/>
      <c r="Q671" s="1570"/>
      <c r="S671" s="1570"/>
      <c r="U671" s="367"/>
      <c r="W671" s="367"/>
      <c r="Y671" s="1581"/>
      <c r="AB671" s="62"/>
      <c r="AD671" s="62"/>
      <c r="AE671" s="1570"/>
      <c r="AF671" s="786"/>
      <c r="AG671" s="1570"/>
      <c r="AH671" s="62"/>
      <c r="AI671" s="282"/>
      <c r="AJ671" s="62"/>
      <c r="AK671" s="1570"/>
    </row>
    <row r="672" spans="2:48">
      <c r="H672" s="91"/>
      <c r="I672" s="8"/>
      <c r="Q672" s="1570"/>
      <c r="S672" s="1570"/>
      <c r="U672" s="367"/>
      <c r="W672" s="367"/>
      <c r="Y672" s="1581"/>
      <c r="AC672" s="62"/>
      <c r="AE672" s="62"/>
      <c r="AF672" s="1570"/>
      <c r="AG672" s="786"/>
      <c r="AH672" s="1570"/>
      <c r="AI672" s="62"/>
      <c r="AJ672" s="282"/>
      <c r="AK672" s="62"/>
      <c r="AL672" s="1570"/>
    </row>
    <row r="673" spans="5:38">
      <c r="H673" s="4"/>
      <c r="I673" s="8"/>
      <c r="Q673" s="1570"/>
      <c r="S673" s="1570"/>
      <c r="U673" s="367"/>
      <c r="W673" s="367"/>
      <c r="Y673" s="367"/>
      <c r="AC673" s="62"/>
      <c r="AE673" s="62"/>
      <c r="AF673" s="1570"/>
      <c r="AG673" s="786"/>
      <c r="AH673" s="1570"/>
      <c r="AI673" s="62"/>
      <c r="AJ673" s="282"/>
      <c r="AK673" s="62"/>
      <c r="AL673" s="1570"/>
    </row>
    <row r="674" spans="5:38">
      <c r="H674" s="48"/>
      <c r="I674" s="32"/>
      <c r="Q674" s="1570"/>
      <c r="S674" s="1570"/>
      <c r="U674" s="367"/>
      <c r="W674" s="367"/>
      <c r="Y674" s="1581"/>
      <c r="AC674" s="62"/>
      <c r="AE674" s="62"/>
      <c r="AF674" s="1570"/>
      <c r="AG674" s="786"/>
      <c r="AH674" s="1570"/>
      <c r="AI674" s="62"/>
      <c r="AJ674" s="282"/>
      <c r="AK674" s="62"/>
      <c r="AL674" s="1570"/>
    </row>
    <row r="675" spans="5:38">
      <c r="I675" s="8"/>
      <c r="Q675" s="1570"/>
      <c r="S675" s="1570"/>
      <c r="U675" s="1570"/>
      <c r="W675" s="1570"/>
      <c r="Y675" s="1570"/>
      <c r="AC675" s="62"/>
      <c r="AE675" s="62"/>
      <c r="AF675" s="1570"/>
      <c r="AG675" s="786"/>
      <c r="AH675" s="1570"/>
      <c r="AI675" s="62"/>
      <c r="AJ675" s="282"/>
      <c r="AK675" s="62"/>
      <c r="AL675" s="1570"/>
    </row>
    <row r="676" spans="5:38">
      <c r="S676" s="1570"/>
      <c r="U676" s="1570"/>
      <c r="W676" s="1570"/>
      <c r="Y676" s="1570"/>
      <c r="AC676" s="62"/>
      <c r="AE676" s="62"/>
      <c r="AF676" s="1570"/>
      <c r="AG676" s="786"/>
      <c r="AH676" s="1570"/>
      <c r="AI676" s="62"/>
      <c r="AJ676" s="282"/>
      <c r="AK676" s="62"/>
      <c r="AL676" s="1570"/>
    </row>
    <row r="677" spans="5:38">
      <c r="S677" s="1570"/>
      <c r="U677" s="1570"/>
      <c r="W677" s="1570"/>
      <c r="Y677" s="1570"/>
      <c r="AC677" s="62"/>
      <c r="AE677" s="62"/>
      <c r="AF677" s="1570"/>
      <c r="AG677" s="786"/>
      <c r="AH677" s="1570"/>
      <c r="AI677" s="62"/>
      <c r="AJ677" s="282"/>
      <c r="AK677" s="62"/>
      <c r="AL677" s="1570"/>
    </row>
    <row r="678" spans="5:38">
      <c r="S678" s="1570"/>
      <c r="U678" s="1570"/>
      <c r="W678" s="1570"/>
      <c r="Y678" s="1570"/>
      <c r="AC678" s="62"/>
      <c r="AE678" s="62"/>
      <c r="AF678" s="1570"/>
      <c r="AG678" s="786"/>
      <c r="AH678" s="1570"/>
      <c r="AI678" s="62"/>
      <c r="AJ678" s="282"/>
      <c r="AK678" s="62"/>
      <c r="AL678" s="1570"/>
    </row>
    <row r="679" spans="5:38">
      <c r="S679" s="1570"/>
      <c r="U679" s="1570"/>
      <c r="W679" s="1570"/>
      <c r="Y679" s="1570"/>
      <c r="AC679" s="62"/>
      <c r="AE679" s="62"/>
      <c r="AF679" s="1570"/>
      <c r="AG679" s="786"/>
      <c r="AH679" s="1570"/>
      <c r="AI679" s="62"/>
      <c r="AJ679" s="282"/>
      <c r="AK679" s="62"/>
      <c r="AL679" s="1570"/>
    </row>
    <row r="680" spans="5:38">
      <c r="S680" s="1570"/>
      <c r="U680" s="1570"/>
      <c r="W680" s="1570"/>
      <c r="Y680" s="1570"/>
      <c r="AC680" s="62"/>
      <c r="AE680" s="62"/>
      <c r="AF680" s="1570"/>
      <c r="AG680" s="786"/>
      <c r="AH680" s="1570"/>
      <c r="AI680" s="62"/>
      <c r="AJ680" s="282"/>
      <c r="AK680" s="62"/>
      <c r="AL680" s="1570"/>
    </row>
    <row r="681" spans="5:38">
      <c r="S681" s="1570"/>
      <c r="U681" s="1570"/>
      <c r="W681" s="1570"/>
      <c r="Y681" s="1570"/>
      <c r="AC681" s="62"/>
      <c r="AE681" s="62"/>
      <c r="AF681" s="1570"/>
      <c r="AG681" s="786"/>
      <c r="AH681" s="1570"/>
      <c r="AI681" s="62"/>
      <c r="AJ681" s="282"/>
      <c r="AK681" s="62"/>
      <c r="AL681" s="1570"/>
    </row>
    <row r="682" spans="5:38">
      <c r="S682" s="1570"/>
      <c r="U682" s="1570"/>
      <c r="W682" s="1570"/>
      <c r="Y682" s="1570"/>
      <c r="AC682" s="62"/>
      <c r="AE682" s="62"/>
      <c r="AF682" s="1570"/>
      <c r="AG682" s="786"/>
      <c r="AH682" s="1570"/>
      <c r="AI682" s="62"/>
      <c r="AJ682" s="282"/>
      <c r="AK682" s="62"/>
      <c r="AL682" s="1570"/>
    </row>
    <row r="683" spans="5:38">
      <c r="E683" s="4"/>
      <c r="F683" s="8"/>
      <c r="G683" s="142"/>
      <c r="S683" s="1570"/>
      <c r="U683" s="1570"/>
      <c r="W683" s="1570"/>
      <c r="Y683" s="1570"/>
      <c r="AC683" s="62"/>
      <c r="AE683" s="62"/>
      <c r="AF683" s="1570"/>
      <c r="AG683" s="786"/>
      <c r="AH683" s="1570"/>
      <c r="AI683" s="62"/>
      <c r="AJ683" s="282"/>
      <c r="AK683" s="62"/>
      <c r="AL683" s="1570"/>
    </row>
    <row r="684" spans="5:38">
      <c r="S684" s="1570"/>
      <c r="U684" s="1570"/>
      <c r="W684" s="1570"/>
      <c r="Y684" s="1570"/>
      <c r="AC684" s="62"/>
      <c r="AE684" s="62"/>
      <c r="AF684" s="1570"/>
      <c r="AG684" s="786"/>
      <c r="AH684" s="1570"/>
      <c r="AI684" s="62"/>
      <c r="AJ684" s="282"/>
      <c r="AK684" s="62"/>
      <c r="AL684" s="1570"/>
    </row>
    <row r="685" spans="5:38">
      <c r="S685" s="1570"/>
      <c r="U685" s="1570"/>
      <c r="W685" s="1570"/>
      <c r="Y685" s="1570"/>
      <c r="AC685" s="62"/>
      <c r="AE685" s="62"/>
      <c r="AF685" s="1570"/>
      <c r="AG685" s="786"/>
      <c r="AH685" s="1570"/>
      <c r="AI685" s="62"/>
      <c r="AJ685" s="282"/>
      <c r="AK685" s="62"/>
      <c r="AL685" s="1570"/>
    </row>
    <row r="686" spans="5:38">
      <c r="S686" s="1570"/>
      <c r="U686" s="1570"/>
      <c r="W686" s="1570"/>
      <c r="Y686" s="1570"/>
      <c r="AC686" s="62"/>
      <c r="AE686" s="62"/>
      <c r="AF686" s="1570"/>
      <c r="AG686" s="786"/>
      <c r="AH686" s="1570"/>
      <c r="AI686" s="62"/>
      <c r="AJ686" s="282"/>
      <c r="AK686" s="62"/>
      <c r="AL686" s="1570"/>
    </row>
    <row r="687" spans="5:38">
      <c r="S687" s="1570"/>
      <c r="U687" s="1570"/>
      <c r="W687" s="1570"/>
      <c r="Y687" s="1570"/>
      <c r="AC687" s="62"/>
      <c r="AE687" s="62"/>
      <c r="AF687" s="1570"/>
      <c r="AG687" s="786"/>
      <c r="AH687" s="1570"/>
      <c r="AI687" s="62"/>
      <c r="AJ687" s="282"/>
      <c r="AK687" s="62"/>
      <c r="AL687" s="1570"/>
    </row>
    <row r="688" spans="5:38">
      <c r="S688" s="1570"/>
      <c r="U688" s="1570"/>
      <c r="W688" s="1570"/>
      <c r="Y688" s="1570"/>
      <c r="AC688" s="62"/>
      <c r="AE688" s="62"/>
      <c r="AF688" s="1570"/>
      <c r="AG688" s="786"/>
      <c r="AH688" s="1570"/>
      <c r="AI688" s="62"/>
      <c r="AJ688" s="282"/>
      <c r="AK688" s="62"/>
      <c r="AL688" s="1570"/>
    </row>
    <row r="689" spans="19:38">
      <c r="S689" s="1570"/>
      <c r="U689" s="1570"/>
      <c r="W689" s="1570"/>
      <c r="Y689" s="1570"/>
      <c r="AC689" s="62"/>
      <c r="AE689" s="62"/>
      <c r="AF689" s="1570"/>
      <c r="AG689" s="786"/>
      <c r="AH689" s="1570"/>
      <c r="AI689" s="62"/>
      <c r="AJ689" s="282"/>
      <c r="AK689" s="62"/>
      <c r="AL689" s="1570"/>
    </row>
    <row r="690" spans="19:38">
      <c r="S690" s="1570"/>
      <c r="U690" s="1570"/>
      <c r="W690" s="1570"/>
      <c r="Y690" s="1570"/>
      <c r="AC690" s="62"/>
      <c r="AE690" s="62"/>
      <c r="AF690" s="1570"/>
      <c r="AG690" s="786"/>
      <c r="AH690" s="1570"/>
      <c r="AI690" s="62"/>
      <c r="AJ690" s="282"/>
      <c r="AK690" s="62"/>
      <c r="AL690" s="1570"/>
    </row>
    <row r="691" spans="19:38">
      <c r="S691" s="1570"/>
      <c r="U691" s="1570"/>
      <c r="W691" s="1570"/>
      <c r="Y691" s="1570"/>
      <c r="AC691" s="62"/>
      <c r="AE691" s="62"/>
      <c r="AF691" s="1570"/>
      <c r="AG691" s="786"/>
      <c r="AH691" s="1570"/>
      <c r="AI691" s="62"/>
      <c r="AJ691" s="282"/>
      <c r="AK691" s="62"/>
      <c r="AL691" s="1570"/>
    </row>
    <row r="692" spans="19:38">
      <c r="S692" s="1570"/>
      <c r="U692" s="1570"/>
      <c r="W692" s="1570"/>
      <c r="Y692" s="1570"/>
      <c r="AC692" s="62"/>
      <c r="AE692" s="62"/>
      <c r="AF692" s="1570"/>
      <c r="AG692" s="786"/>
      <c r="AH692" s="1570"/>
      <c r="AI692" s="62"/>
      <c r="AJ692" s="282"/>
      <c r="AK692" s="62"/>
      <c r="AL692" s="1570"/>
    </row>
    <row r="693" spans="19:38">
      <c r="S693" s="1570"/>
      <c r="U693" s="1570"/>
      <c r="W693" s="1570"/>
      <c r="Y693" s="1570"/>
      <c r="AC693" s="62"/>
      <c r="AE693" s="62"/>
      <c r="AF693" s="1570"/>
      <c r="AG693" s="786"/>
      <c r="AH693" s="1570"/>
      <c r="AI693" s="62"/>
      <c r="AJ693" s="282"/>
      <c r="AK693" s="62"/>
      <c r="AL693" s="1570"/>
    </row>
    <row r="694" spans="19:38">
      <c r="S694" s="1570"/>
      <c r="U694" s="1570"/>
      <c r="W694" s="1570"/>
      <c r="Y694" s="1570"/>
      <c r="AC694" s="62"/>
      <c r="AE694" s="62"/>
      <c r="AF694" s="1570"/>
      <c r="AG694" s="786"/>
      <c r="AH694" s="1570"/>
      <c r="AI694" s="62"/>
      <c r="AJ694" s="282"/>
      <c r="AK694" s="62"/>
      <c r="AL694" s="1570"/>
    </row>
    <row r="695" spans="19:38">
      <c r="S695" s="1570"/>
      <c r="U695" s="1570"/>
      <c r="W695" s="1570"/>
      <c r="Y695" s="1570"/>
      <c r="AC695" s="62"/>
      <c r="AE695" s="62"/>
      <c r="AF695" s="1570"/>
      <c r="AG695" s="786"/>
      <c r="AH695" s="1570"/>
      <c r="AI695" s="62"/>
      <c r="AJ695" s="282"/>
      <c r="AK695" s="62"/>
      <c r="AL695" s="1570"/>
    </row>
    <row r="696" spans="19:38">
      <c r="S696" s="1570"/>
      <c r="U696" s="1570"/>
      <c r="W696" s="1570"/>
      <c r="Y696" s="1570"/>
      <c r="AC696" s="62"/>
      <c r="AE696" s="62"/>
      <c r="AF696" s="1570"/>
      <c r="AG696" s="786"/>
      <c r="AH696" s="1570"/>
      <c r="AI696" s="62"/>
      <c r="AJ696" s="282"/>
      <c r="AK696" s="62"/>
      <c r="AL696" s="1570"/>
    </row>
    <row r="697" spans="19:38">
      <c r="S697" s="1570"/>
      <c r="U697" s="1570"/>
      <c r="W697" s="1570"/>
      <c r="Y697" s="1570"/>
      <c r="AC697" s="62"/>
      <c r="AE697" s="62"/>
      <c r="AF697" s="1570"/>
      <c r="AG697" s="786"/>
      <c r="AH697" s="1570"/>
      <c r="AI697" s="62"/>
      <c r="AJ697" s="282"/>
      <c r="AK697" s="62"/>
      <c r="AL697" s="1570"/>
    </row>
    <row r="698" spans="19:38">
      <c r="S698" s="1570"/>
      <c r="U698" s="1570"/>
      <c r="W698" s="1570"/>
      <c r="Y698" s="1570"/>
      <c r="AC698" s="62"/>
      <c r="AE698" s="62"/>
      <c r="AF698" s="1570"/>
      <c r="AG698" s="786"/>
      <c r="AH698" s="1570"/>
      <c r="AI698" s="62"/>
      <c r="AJ698" s="282"/>
      <c r="AK698" s="62"/>
      <c r="AL698" s="1570"/>
    </row>
    <row r="699" spans="19:38">
      <c r="S699" s="1570"/>
      <c r="U699" s="1570"/>
      <c r="W699" s="1570"/>
      <c r="Y699" s="1570"/>
      <c r="AC699" s="62"/>
      <c r="AE699" s="62"/>
      <c r="AF699" s="1570"/>
      <c r="AG699" s="786"/>
      <c r="AH699" s="1570"/>
      <c r="AI699" s="62"/>
      <c r="AJ699" s="282"/>
      <c r="AK699" s="62"/>
      <c r="AL699" s="1570"/>
    </row>
    <row r="700" spans="19:38">
      <c r="S700" s="1570"/>
      <c r="U700" s="1570"/>
      <c r="W700" s="1570"/>
      <c r="Y700" s="1570"/>
      <c r="AC700" s="62"/>
      <c r="AE700" s="62"/>
      <c r="AF700" s="1570"/>
      <c r="AG700" s="786"/>
      <c r="AH700" s="1570"/>
      <c r="AI700" s="62"/>
      <c r="AJ700" s="282"/>
      <c r="AK700" s="62"/>
      <c r="AL700" s="1570"/>
    </row>
    <row r="701" spans="19:38">
      <c r="S701" s="1570"/>
      <c r="U701" s="1570"/>
      <c r="W701" s="1570"/>
      <c r="Y701" s="1570"/>
      <c r="AC701" s="62"/>
      <c r="AE701" s="62"/>
      <c r="AF701" s="1570"/>
      <c r="AG701" s="786"/>
      <c r="AH701" s="1570"/>
      <c r="AI701" s="62"/>
      <c r="AJ701" s="282"/>
      <c r="AK701" s="62"/>
      <c r="AL701" s="1570"/>
    </row>
    <row r="702" spans="19:38">
      <c r="S702" s="1570"/>
      <c r="U702" s="1570"/>
      <c r="W702" s="1570"/>
      <c r="Y702" s="1570"/>
      <c r="AC702" s="62"/>
      <c r="AE702" s="62"/>
      <c r="AF702" s="1570"/>
      <c r="AG702" s="786"/>
      <c r="AH702" s="1570"/>
      <c r="AI702" s="62"/>
      <c r="AJ702" s="282"/>
      <c r="AK702" s="62"/>
      <c r="AL702" s="1570"/>
    </row>
    <row r="703" spans="19:38">
      <c r="S703" s="1570"/>
      <c r="U703" s="1570"/>
      <c r="W703" s="1570"/>
      <c r="Y703" s="1570"/>
      <c r="AC703" s="62"/>
      <c r="AE703" s="62"/>
      <c r="AF703" s="1570"/>
      <c r="AG703" s="786"/>
      <c r="AH703" s="1570"/>
      <c r="AI703" s="62"/>
      <c r="AJ703" s="282"/>
      <c r="AK703" s="62"/>
      <c r="AL703" s="1570"/>
    </row>
    <row r="704" spans="19:38">
      <c r="S704" s="1570"/>
      <c r="U704" s="1570"/>
      <c r="W704" s="1570"/>
      <c r="Y704" s="1570"/>
      <c r="AC704" s="62"/>
      <c r="AE704" s="62"/>
      <c r="AF704" s="1570"/>
      <c r="AG704" s="786"/>
      <c r="AH704" s="1570"/>
      <c r="AI704" s="62"/>
      <c r="AJ704" s="282"/>
      <c r="AK704" s="62"/>
      <c r="AL704" s="1570"/>
    </row>
    <row r="705" spans="19:38">
      <c r="S705" s="1570"/>
      <c r="U705" s="1570"/>
      <c r="W705" s="1570"/>
      <c r="Y705" s="1570"/>
      <c r="AC705" s="62"/>
      <c r="AE705" s="62"/>
      <c r="AF705" s="1570"/>
      <c r="AG705" s="786"/>
      <c r="AH705" s="1570"/>
      <c r="AI705" s="62"/>
      <c r="AJ705" s="282"/>
      <c r="AK705" s="62"/>
      <c r="AL705" s="1570"/>
    </row>
    <row r="706" spans="19:38">
      <c r="S706" s="1570"/>
      <c r="U706" s="1570"/>
      <c r="W706" s="1570"/>
      <c r="Y706" s="1570"/>
      <c r="AC706" s="62"/>
      <c r="AE706" s="62"/>
      <c r="AF706" s="1570"/>
      <c r="AG706" s="786"/>
      <c r="AH706" s="1570"/>
      <c r="AI706" s="62"/>
      <c r="AJ706" s="282"/>
      <c r="AK706" s="62"/>
      <c r="AL706" s="1570"/>
    </row>
    <row r="707" spans="19:38">
      <c r="S707" s="1570"/>
      <c r="U707" s="1570"/>
      <c r="W707" s="1570"/>
      <c r="Y707" s="1570"/>
      <c r="AC707" s="62"/>
      <c r="AE707" s="62"/>
      <c r="AF707" s="1570"/>
      <c r="AG707" s="786"/>
      <c r="AH707" s="1570"/>
      <c r="AI707" s="62"/>
      <c r="AJ707" s="282"/>
      <c r="AK707" s="62"/>
      <c r="AL707" s="1570"/>
    </row>
    <row r="708" spans="19:38">
      <c r="S708" s="1570"/>
      <c r="U708" s="1570"/>
      <c r="W708" s="1570"/>
      <c r="Y708" s="1570"/>
      <c r="AC708" s="62"/>
      <c r="AE708" s="62"/>
      <c r="AF708" s="1570"/>
      <c r="AG708" s="786"/>
      <c r="AH708" s="1570"/>
      <c r="AJ708" s="282"/>
      <c r="AK708" s="62"/>
      <c r="AL708" s="1570"/>
    </row>
    <row r="709" spans="19:38">
      <c r="S709" s="1570"/>
      <c r="U709" s="1570"/>
      <c r="W709" s="1570"/>
      <c r="Y709" s="1570"/>
      <c r="AC709" s="62"/>
      <c r="AE709" s="62"/>
      <c r="AF709" s="1570"/>
      <c r="AG709" s="786"/>
      <c r="AH709" s="1570"/>
      <c r="AJ709" s="282"/>
      <c r="AK709" s="62"/>
      <c r="AL709" s="1570"/>
    </row>
    <row r="710" spans="19:38">
      <c r="S710" s="1570"/>
      <c r="U710" s="1570"/>
      <c r="W710" s="1570"/>
      <c r="Y710" s="1570"/>
      <c r="AC710" s="62"/>
      <c r="AE710" s="62"/>
      <c r="AF710" s="1570"/>
      <c r="AG710" s="786"/>
      <c r="AH710" s="1570"/>
      <c r="AJ710" s="282"/>
      <c r="AK710" s="62"/>
      <c r="AL710" s="1570"/>
    </row>
    <row r="711" spans="19:38">
      <c r="S711" s="1570"/>
      <c r="U711" s="1570"/>
      <c r="W711" s="1570"/>
      <c r="Y711" s="1570"/>
      <c r="AC711" s="62"/>
      <c r="AE711" s="62"/>
      <c r="AF711" s="1570"/>
      <c r="AG711" s="786"/>
      <c r="AH711" s="1570"/>
      <c r="AJ711" s="282"/>
      <c r="AK711" s="62"/>
      <c r="AL711" s="1570"/>
    </row>
    <row r="712" spans="19:38">
      <c r="S712" s="1570"/>
      <c r="U712" s="1570"/>
      <c r="W712" s="1570"/>
      <c r="Y712" s="1570"/>
      <c r="AC712" s="62"/>
      <c r="AE712" s="62"/>
      <c r="AF712" s="1570"/>
      <c r="AG712" s="786"/>
      <c r="AH712" s="1570"/>
      <c r="AJ712" s="282"/>
      <c r="AK712" s="62"/>
      <c r="AL712" s="1570"/>
    </row>
    <row r="713" spans="19:38">
      <c r="S713" s="1570"/>
      <c r="U713" s="1570"/>
      <c r="W713" s="1570"/>
      <c r="Y713" s="1570"/>
      <c r="AC713" s="62"/>
      <c r="AE713" s="62"/>
      <c r="AF713" s="1570"/>
      <c r="AG713" s="786"/>
      <c r="AH713" s="1570"/>
      <c r="AJ713" s="282"/>
      <c r="AK713" s="62"/>
      <c r="AL713" s="1570"/>
    </row>
    <row r="714" spans="19:38">
      <c r="S714" s="1570"/>
      <c r="U714" s="1570"/>
      <c r="W714" s="1570"/>
      <c r="Y714" s="1570"/>
      <c r="AC714" s="62"/>
      <c r="AE714" s="62"/>
      <c r="AF714" s="1570"/>
      <c r="AG714" s="786"/>
      <c r="AH714" s="1570"/>
      <c r="AJ714" s="282"/>
      <c r="AK714" s="62"/>
      <c r="AL714" s="1570"/>
    </row>
    <row r="715" spans="19:38">
      <c r="S715" s="1570"/>
      <c r="U715" s="1570"/>
      <c r="W715" s="1570"/>
      <c r="Y715" s="1570"/>
      <c r="AC715" s="62"/>
      <c r="AE715" s="62"/>
      <c r="AF715" s="1570"/>
      <c r="AG715" s="786"/>
      <c r="AH715" s="1570"/>
      <c r="AJ715" s="282"/>
      <c r="AK715" s="62"/>
      <c r="AL715" s="1570"/>
    </row>
    <row r="716" spans="19:38">
      <c r="S716" s="1570"/>
      <c r="U716" s="1570"/>
      <c r="W716" s="1570"/>
      <c r="Y716" s="1570"/>
      <c r="AC716" s="62"/>
      <c r="AE716" s="62"/>
      <c r="AF716" s="1570"/>
      <c r="AG716" s="786"/>
      <c r="AH716" s="1570"/>
      <c r="AJ716" s="282"/>
      <c r="AK716" s="62"/>
      <c r="AL716" s="1570"/>
    </row>
    <row r="717" spans="19:38">
      <c r="S717" s="1570"/>
      <c r="U717" s="1570"/>
      <c r="W717" s="1570"/>
      <c r="Y717" s="1570"/>
      <c r="AC717" s="62"/>
      <c r="AE717" s="62"/>
      <c r="AF717" s="1570"/>
      <c r="AG717" s="786"/>
      <c r="AH717" s="1570"/>
      <c r="AJ717" s="282"/>
      <c r="AK717" s="62"/>
      <c r="AL717" s="1570"/>
    </row>
    <row r="718" spans="19:38">
      <c r="S718" s="1570"/>
      <c r="U718" s="1570"/>
      <c r="W718" s="1570"/>
      <c r="Y718" s="1570"/>
      <c r="AC718" s="62"/>
      <c r="AE718" s="62"/>
      <c r="AF718" s="1570"/>
      <c r="AG718" s="786"/>
      <c r="AH718" s="1570"/>
      <c r="AJ718" s="282"/>
      <c r="AK718" s="62"/>
      <c r="AL718" s="1570"/>
    </row>
    <row r="719" spans="19:38">
      <c r="S719" s="1570"/>
      <c r="U719" s="1570"/>
      <c r="W719" s="1570"/>
      <c r="Y719" s="1570"/>
      <c r="AC719" s="62"/>
      <c r="AE719" s="62"/>
      <c r="AF719" s="1570"/>
      <c r="AG719" s="795"/>
      <c r="AH719" s="1570"/>
      <c r="AJ719" s="282"/>
      <c r="AK719" s="62"/>
      <c r="AL719" s="1570"/>
    </row>
    <row r="720" spans="19:38">
      <c r="S720" s="1570"/>
      <c r="U720" s="1570"/>
      <c r="W720" s="1570"/>
      <c r="Y720" s="1570"/>
      <c r="AC720" s="62"/>
      <c r="AE720" s="62"/>
      <c r="AF720" s="1570"/>
      <c r="AG720" s="795"/>
      <c r="AH720" s="1570"/>
      <c r="AJ720" s="282"/>
      <c r="AK720" s="62"/>
      <c r="AL720" s="1570"/>
    </row>
    <row r="721" spans="19:38">
      <c r="S721" s="1570"/>
      <c r="U721" s="1570"/>
      <c r="W721" s="1570"/>
      <c r="Y721" s="1570"/>
      <c r="AC721" s="62"/>
      <c r="AE721" s="62"/>
      <c r="AF721" s="1570"/>
      <c r="AG721" s="795"/>
      <c r="AH721" s="1570"/>
      <c r="AJ721" s="282"/>
      <c r="AK721" s="62"/>
      <c r="AL721" s="1570"/>
    </row>
    <row r="722" spans="19:38">
      <c r="S722" s="1570"/>
      <c r="U722" s="1570"/>
      <c r="W722" s="1570"/>
      <c r="Y722" s="1570"/>
      <c r="AC722" s="62"/>
      <c r="AE722" s="62"/>
      <c r="AF722" s="1570"/>
      <c r="AG722" s="795"/>
      <c r="AH722" s="1570"/>
      <c r="AJ722" s="282"/>
      <c r="AK722" s="62"/>
      <c r="AL722" s="1570"/>
    </row>
    <row r="723" spans="19:38">
      <c r="S723" s="1570"/>
      <c r="U723" s="1570"/>
      <c r="W723" s="1570"/>
      <c r="Y723" s="1570"/>
      <c r="AC723" s="62"/>
      <c r="AE723" s="62"/>
      <c r="AF723" s="1570"/>
      <c r="AG723" s="795"/>
      <c r="AH723" s="1570"/>
      <c r="AJ723" s="282"/>
      <c r="AK723" s="62"/>
      <c r="AL723" s="1570"/>
    </row>
    <row r="724" spans="19:38">
      <c r="S724" s="1570"/>
      <c r="U724" s="1570"/>
      <c r="W724" s="1570"/>
      <c r="Y724" s="1570"/>
      <c r="AC724" s="62"/>
      <c r="AE724" s="62"/>
      <c r="AF724" s="1570"/>
      <c r="AG724" s="795"/>
      <c r="AH724" s="1570"/>
      <c r="AJ724" s="282"/>
      <c r="AK724" s="62"/>
      <c r="AL724" s="1570"/>
    </row>
    <row r="725" spans="19:38">
      <c r="S725" s="1570"/>
      <c r="U725" s="1570"/>
      <c r="W725" s="1570"/>
      <c r="Y725" s="1570"/>
      <c r="AC725" s="62"/>
      <c r="AE725" s="62"/>
      <c r="AF725" s="1570"/>
      <c r="AG725" s="795"/>
      <c r="AJ725" s="282"/>
      <c r="AK725" s="62"/>
      <c r="AL725" s="1570"/>
    </row>
    <row r="726" spans="19:38">
      <c r="S726" s="1570"/>
      <c r="U726" s="1570"/>
      <c r="W726" s="1570"/>
      <c r="Y726" s="1570"/>
      <c r="AC726" s="62"/>
      <c r="AE726" s="62"/>
      <c r="AF726" s="1570"/>
      <c r="AG726" s="795"/>
      <c r="AJ726" s="282"/>
      <c r="AK726" s="62"/>
      <c r="AL726" s="1570"/>
    </row>
    <row r="727" spans="19:38">
      <c r="S727" s="1570"/>
      <c r="U727" s="1570"/>
      <c r="W727" s="1570"/>
      <c r="Y727" s="1570"/>
      <c r="AC727" s="62"/>
      <c r="AE727" s="62"/>
      <c r="AF727" s="1570"/>
      <c r="AG727" s="795"/>
      <c r="AJ727" s="282"/>
      <c r="AK727" s="62"/>
      <c r="AL727" s="1570"/>
    </row>
    <row r="728" spans="19:38">
      <c r="S728" s="1570"/>
      <c r="U728" s="1570"/>
      <c r="W728" s="1570"/>
      <c r="Y728" s="1570"/>
      <c r="AC728" s="62"/>
      <c r="AE728" s="62"/>
      <c r="AF728" s="1570"/>
      <c r="AG728" s="795"/>
      <c r="AJ728" s="282"/>
      <c r="AK728" s="62"/>
      <c r="AL728" s="1570"/>
    </row>
    <row r="729" spans="19:38">
      <c r="S729" s="1570"/>
      <c r="U729" s="1570"/>
      <c r="W729" s="1570"/>
      <c r="Y729" s="1570"/>
      <c r="AC729" s="62"/>
      <c r="AE729" s="62"/>
      <c r="AF729" s="1570"/>
      <c r="AG729" s="795"/>
      <c r="AJ729" s="282"/>
      <c r="AK729" s="62"/>
      <c r="AL729" s="1570"/>
    </row>
    <row r="730" spans="19:38">
      <c r="S730" s="1570"/>
      <c r="U730" s="1570"/>
      <c r="W730" s="1570"/>
      <c r="Y730" s="1570"/>
      <c r="AC730" s="62"/>
      <c r="AE730" s="62"/>
      <c r="AF730" s="1570"/>
      <c r="AG730" s="795"/>
      <c r="AJ730" s="282"/>
      <c r="AK730" s="62"/>
      <c r="AL730" s="1570"/>
    </row>
    <row r="731" spans="19:38">
      <c r="S731" s="1570"/>
      <c r="U731" s="1570"/>
      <c r="W731" s="1570"/>
      <c r="Y731" s="1570"/>
      <c r="AC731" s="62"/>
      <c r="AE731" s="62"/>
      <c r="AF731" s="1570"/>
      <c r="AG731" s="795"/>
      <c r="AJ731" s="282"/>
      <c r="AK731" s="62"/>
      <c r="AL731" s="1570"/>
    </row>
    <row r="732" spans="19:38">
      <c r="S732" s="1570"/>
      <c r="U732" s="1570"/>
      <c r="W732" s="1570"/>
      <c r="Y732" s="1570"/>
      <c r="AC732" s="62"/>
      <c r="AE732" s="62"/>
      <c r="AF732" s="1570"/>
      <c r="AG732" s="795"/>
      <c r="AJ732" s="282"/>
      <c r="AK732" s="62"/>
      <c r="AL732" s="1570"/>
    </row>
    <row r="733" spans="19:38">
      <c r="S733" s="1570"/>
      <c r="U733" s="1570"/>
      <c r="W733" s="1570"/>
      <c r="Y733" s="1570"/>
      <c r="AC733" s="62"/>
      <c r="AE733" s="62"/>
      <c r="AF733" s="1570"/>
      <c r="AG733" s="795"/>
      <c r="AJ733" s="282"/>
      <c r="AK733" s="62"/>
      <c r="AL733" s="1570"/>
    </row>
    <row r="734" spans="19:38">
      <c r="S734" s="1570"/>
      <c r="U734" s="1570"/>
      <c r="W734" s="1570"/>
      <c r="Y734" s="1570"/>
      <c r="AC734" s="62"/>
      <c r="AE734" s="62"/>
      <c r="AF734" s="1570"/>
      <c r="AG734" s="795"/>
      <c r="AJ734" s="282"/>
      <c r="AK734" s="62"/>
      <c r="AL734" s="1570"/>
    </row>
    <row r="735" spans="19:38">
      <c r="S735" s="1570"/>
      <c r="U735" s="1570"/>
      <c r="W735" s="1570"/>
      <c r="Y735" s="1570"/>
      <c r="AC735" s="62"/>
      <c r="AE735" s="62"/>
      <c r="AF735" s="1570"/>
      <c r="AG735" s="795"/>
      <c r="AJ735" s="282"/>
      <c r="AK735" s="62"/>
      <c r="AL735" s="1570"/>
    </row>
    <row r="736" spans="19:38">
      <c r="S736" s="1570"/>
      <c r="U736" s="1570"/>
      <c r="W736" s="1570"/>
      <c r="Y736" s="1570"/>
      <c r="AC736" s="62"/>
      <c r="AE736" s="62"/>
      <c r="AF736" s="1570"/>
      <c r="AG736" s="795"/>
      <c r="AJ736" s="282"/>
      <c r="AK736" s="62"/>
      <c r="AL736" s="1570"/>
    </row>
    <row r="737" spans="19:38">
      <c r="S737" s="1570"/>
      <c r="U737" s="1570"/>
      <c r="W737" s="1570"/>
      <c r="Y737" s="1570"/>
      <c r="AC737" s="62"/>
      <c r="AE737" s="62"/>
      <c r="AF737" s="1570"/>
      <c r="AG737" s="795"/>
      <c r="AJ737" s="282"/>
      <c r="AK737" s="62"/>
      <c r="AL737" s="1570"/>
    </row>
    <row r="738" spans="19:38">
      <c r="S738" s="1570"/>
      <c r="U738" s="1570"/>
      <c r="W738" s="1570"/>
      <c r="Y738" s="1570"/>
      <c r="AC738" s="62"/>
      <c r="AE738" s="62"/>
      <c r="AF738" s="1570"/>
      <c r="AG738" s="795"/>
      <c r="AJ738" s="282"/>
      <c r="AK738" s="62"/>
      <c r="AL738" s="1570"/>
    </row>
    <row r="739" spans="19:38">
      <c r="S739" s="1570"/>
      <c r="U739" s="1570"/>
      <c r="W739" s="1570"/>
      <c r="Y739" s="1570"/>
      <c r="AC739" s="62"/>
      <c r="AE739" s="62"/>
      <c r="AF739" s="1570"/>
      <c r="AG739" s="795"/>
      <c r="AJ739" s="282"/>
      <c r="AK739" s="62"/>
      <c r="AL739" s="1570"/>
    </row>
    <row r="740" spans="19:38">
      <c r="S740" s="1570"/>
      <c r="U740" s="1570"/>
      <c r="W740" s="1570"/>
      <c r="Y740" s="1570"/>
      <c r="AC740" s="62"/>
      <c r="AE740" s="62"/>
      <c r="AF740" s="1570"/>
      <c r="AG740" s="795"/>
      <c r="AJ740" s="282"/>
      <c r="AK740" s="62"/>
      <c r="AL740" s="1570"/>
    </row>
    <row r="741" spans="19:38">
      <c r="S741" s="1570"/>
      <c r="U741" s="1570"/>
      <c r="W741" s="1570"/>
      <c r="Y741" s="1570"/>
      <c r="AC741" s="62"/>
      <c r="AE741" s="62"/>
      <c r="AF741" s="1570"/>
      <c r="AG741" s="795"/>
      <c r="AJ741" s="282"/>
      <c r="AK741" s="62"/>
      <c r="AL741" s="1570"/>
    </row>
    <row r="742" spans="19:38">
      <c r="S742" s="1570"/>
      <c r="U742" s="1570"/>
      <c r="W742" s="1570"/>
      <c r="Y742" s="1570"/>
      <c r="AC742" s="62"/>
      <c r="AE742" s="62"/>
      <c r="AF742" s="1570"/>
      <c r="AG742" s="795"/>
      <c r="AJ742" s="282"/>
      <c r="AK742" s="62"/>
      <c r="AL742" s="1570"/>
    </row>
    <row r="743" spans="19:38">
      <c r="S743" s="1570"/>
      <c r="U743" s="1570"/>
      <c r="W743" s="1570"/>
      <c r="Y743" s="1570"/>
      <c r="AC743" s="62"/>
      <c r="AE743" s="62"/>
      <c r="AF743" s="1570"/>
      <c r="AG743" s="795"/>
      <c r="AJ743" s="282"/>
      <c r="AK743" s="62"/>
      <c r="AL743" s="1570"/>
    </row>
    <row r="744" spans="19:38">
      <c r="S744" s="1570"/>
      <c r="U744" s="1570"/>
      <c r="W744" s="1570"/>
      <c r="Y744" s="1570"/>
      <c r="AC744" s="62"/>
      <c r="AE744" s="62"/>
      <c r="AF744" s="1570"/>
      <c r="AG744" s="795"/>
      <c r="AJ744" s="282"/>
      <c r="AK744" s="62"/>
      <c r="AL744" s="1570"/>
    </row>
    <row r="745" spans="19:38">
      <c r="S745" s="1570"/>
      <c r="U745" s="1570"/>
      <c r="W745" s="1570"/>
      <c r="Y745" s="1570"/>
      <c r="AC745" s="62"/>
      <c r="AE745" s="62"/>
      <c r="AF745" s="1570"/>
      <c r="AG745" s="795"/>
      <c r="AJ745" s="282"/>
      <c r="AK745" s="62"/>
      <c r="AL745" s="1570"/>
    </row>
    <row r="746" spans="19:38">
      <c r="S746" s="1570"/>
      <c r="U746" s="1570"/>
      <c r="W746" s="1570"/>
      <c r="Y746" s="1570"/>
      <c r="AC746" s="62"/>
      <c r="AE746" s="62"/>
      <c r="AF746" s="1570"/>
      <c r="AG746" s="795"/>
      <c r="AJ746" s="282"/>
      <c r="AK746" s="62"/>
      <c r="AL746" s="1570"/>
    </row>
    <row r="747" spans="19:38">
      <c r="S747" s="1570"/>
      <c r="U747" s="1570"/>
      <c r="W747" s="1570"/>
      <c r="Y747" s="1570"/>
      <c r="AC747" s="62"/>
      <c r="AE747" s="62"/>
      <c r="AF747" s="1570"/>
      <c r="AG747" s="795"/>
      <c r="AJ747" s="282"/>
      <c r="AK747" s="62"/>
      <c r="AL747" s="1570"/>
    </row>
    <row r="748" spans="19:38">
      <c r="S748" s="1570"/>
      <c r="U748" s="1570"/>
      <c r="W748" s="1570"/>
      <c r="Y748" s="1570"/>
      <c r="AC748" s="62"/>
      <c r="AE748" s="62"/>
      <c r="AF748" s="1570"/>
      <c r="AG748" s="795"/>
      <c r="AJ748" s="282"/>
      <c r="AK748" s="62"/>
      <c r="AL748" s="1570"/>
    </row>
    <row r="749" spans="19:38">
      <c r="S749" s="1570"/>
      <c r="U749" s="1570"/>
      <c r="W749" s="1570"/>
      <c r="Y749" s="1570"/>
      <c r="AC749" s="62"/>
      <c r="AE749" s="62"/>
      <c r="AF749" s="1570"/>
      <c r="AG749" s="795"/>
      <c r="AJ749" s="282"/>
      <c r="AK749" s="62"/>
      <c r="AL749" s="1570"/>
    </row>
    <row r="750" spans="19:38">
      <c r="S750" s="1570"/>
      <c r="U750" s="1570"/>
      <c r="W750" s="1570"/>
      <c r="Y750" s="1570"/>
      <c r="AC750" s="62"/>
      <c r="AE750" s="62"/>
      <c r="AF750" s="1570"/>
      <c r="AG750" s="795"/>
      <c r="AJ750" s="282"/>
      <c r="AK750" s="62"/>
      <c r="AL750" s="1570"/>
    </row>
    <row r="751" spans="19:38">
      <c r="S751" s="1570"/>
      <c r="U751" s="1570"/>
      <c r="W751" s="1570"/>
      <c r="Y751" s="1570"/>
      <c r="AC751" s="62"/>
      <c r="AE751" s="62"/>
      <c r="AF751" s="1570"/>
      <c r="AG751" s="795"/>
      <c r="AJ751" s="282"/>
      <c r="AK751" s="62"/>
      <c r="AL751" s="1570"/>
    </row>
    <row r="752" spans="19:38">
      <c r="S752" s="1570"/>
      <c r="U752" s="1570"/>
      <c r="W752" s="1570"/>
      <c r="Y752" s="1570"/>
      <c r="AC752" s="62"/>
      <c r="AE752" s="62"/>
      <c r="AF752" s="1570"/>
      <c r="AG752" s="795"/>
      <c r="AJ752" s="282"/>
      <c r="AK752" s="62"/>
      <c r="AL752" s="1570"/>
    </row>
    <row r="753" spans="19:38">
      <c r="S753" s="1570"/>
      <c r="U753" s="1570"/>
      <c r="W753" s="1570"/>
      <c r="Y753" s="1570"/>
      <c r="AC753" s="62"/>
      <c r="AE753" s="62"/>
      <c r="AF753" s="1570"/>
      <c r="AG753" s="795"/>
      <c r="AJ753" s="282"/>
      <c r="AK753" s="62"/>
      <c r="AL753" s="1570"/>
    </row>
    <row r="754" spans="19:38">
      <c r="S754" s="1570"/>
      <c r="U754" s="1570"/>
      <c r="W754" s="1570"/>
      <c r="Y754" s="1570"/>
      <c r="AC754" s="62"/>
      <c r="AE754" s="62"/>
      <c r="AF754" s="1570"/>
      <c r="AG754" s="795"/>
      <c r="AJ754" s="282"/>
      <c r="AK754" s="62"/>
      <c r="AL754" s="1570"/>
    </row>
    <row r="755" spans="19:38">
      <c r="S755" s="1570"/>
      <c r="U755" s="1570"/>
      <c r="W755" s="1570"/>
      <c r="Y755" s="1570"/>
      <c r="AC755" s="62"/>
      <c r="AE755" s="62"/>
      <c r="AF755" s="1570"/>
      <c r="AG755" s="795"/>
      <c r="AJ755" s="282"/>
      <c r="AK755" s="62"/>
      <c r="AL755" s="1570"/>
    </row>
    <row r="756" spans="19:38">
      <c r="S756" s="1570"/>
      <c r="U756" s="1570"/>
      <c r="W756" s="1570"/>
      <c r="Y756" s="1570"/>
      <c r="AC756" s="62"/>
      <c r="AE756" s="62"/>
      <c r="AF756" s="1570"/>
      <c r="AG756" s="795"/>
      <c r="AJ756" s="282"/>
      <c r="AK756" s="62"/>
      <c r="AL756" s="1570"/>
    </row>
    <row r="757" spans="19:38">
      <c r="S757" s="1570"/>
      <c r="U757" s="1570"/>
      <c r="W757" s="1570"/>
      <c r="Y757" s="1570"/>
      <c r="AC757" s="62"/>
      <c r="AE757" s="62"/>
      <c r="AF757" s="1570"/>
      <c r="AG757" s="795"/>
      <c r="AJ757" s="282"/>
      <c r="AK757" s="62"/>
      <c r="AL757" s="1570"/>
    </row>
    <row r="758" spans="19:38">
      <c r="S758" s="1570"/>
      <c r="U758" s="1570"/>
      <c r="W758" s="1570"/>
      <c r="Y758" s="1570"/>
      <c r="AC758" s="62"/>
      <c r="AE758" s="62"/>
      <c r="AF758" s="1570"/>
      <c r="AG758" s="795"/>
      <c r="AJ758" s="282"/>
      <c r="AK758" s="62"/>
      <c r="AL758" s="1570"/>
    </row>
    <row r="759" spans="19:38">
      <c r="S759" s="1570"/>
      <c r="U759" s="1570"/>
      <c r="W759" s="1570"/>
      <c r="Y759" s="1570"/>
      <c r="AC759" s="62"/>
      <c r="AE759" s="62"/>
      <c r="AF759" s="1570"/>
      <c r="AG759" s="795"/>
      <c r="AJ759" s="282"/>
      <c r="AK759" s="62"/>
      <c r="AL759" s="1570"/>
    </row>
    <row r="760" spans="19:38">
      <c r="S760" s="1570"/>
      <c r="U760" s="1570"/>
      <c r="W760" s="1570"/>
      <c r="Y760" s="1570"/>
      <c r="AC760" s="62"/>
      <c r="AE760" s="62"/>
      <c r="AF760" s="1570"/>
      <c r="AG760" s="795"/>
      <c r="AJ760" s="282"/>
      <c r="AK760" s="62"/>
      <c r="AL760" s="1570"/>
    </row>
    <row r="761" spans="19:38">
      <c r="S761" s="1570"/>
      <c r="U761" s="1570"/>
      <c r="W761" s="1570"/>
      <c r="Y761" s="1570"/>
      <c r="AC761" s="62"/>
      <c r="AE761" s="62"/>
      <c r="AF761" s="1570"/>
      <c r="AG761" s="795"/>
      <c r="AJ761" s="282"/>
      <c r="AK761" s="62"/>
      <c r="AL761" s="1570"/>
    </row>
    <row r="762" spans="19:38">
      <c r="S762" s="1570"/>
      <c r="U762" s="1570"/>
      <c r="W762" s="1570"/>
      <c r="Y762" s="1570"/>
      <c r="AC762" s="62"/>
      <c r="AE762" s="62"/>
      <c r="AF762" s="1570"/>
      <c r="AG762" s="795"/>
      <c r="AJ762" s="282"/>
      <c r="AK762" s="62"/>
      <c r="AL762" s="1570"/>
    </row>
    <row r="763" spans="19:38">
      <c r="S763" s="1570"/>
      <c r="U763" s="1570"/>
      <c r="W763" s="1570"/>
      <c r="Y763" s="1570"/>
      <c r="AC763" s="62"/>
      <c r="AE763" s="62"/>
      <c r="AF763" s="1570"/>
      <c r="AG763" s="795"/>
      <c r="AJ763" s="282"/>
      <c r="AK763" s="62"/>
      <c r="AL763" s="1570"/>
    </row>
    <row r="764" spans="19:38">
      <c r="S764" s="1570"/>
      <c r="U764" s="1570"/>
      <c r="W764" s="1570"/>
      <c r="Y764" s="1570"/>
      <c r="AC764" s="62"/>
      <c r="AE764" s="62"/>
      <c r="AF764" s="1570"/>
      <c r="AG764" s="795"/>
      <c r="AJ764" s="282"/>
      <c r="AK764" s="62"/>
      <c r="AL764" s="1570"/>
    </row>
    <row r="765" spans="19:38">
      <c r="S765" s="1570"/>
      <c r="U765" s="1570"/>
      <c r="W765" s="1570"/>
      <c r="Y765" s="1570"/>
      <c r="AC765" s="62"/>
      <c r="AE765" s="62"/>
      <c r="AF765" s="1570"/>
      <c r="AG765" s="795"/>
      <c r="AJ765" s="282"/>
      <c r="AK765" s="62"/>
      <c r="AL765" s="1570"/>
    </row>
    <row r="766" spans="19:38">
      <c r="S766" s="1570"/>
      <c r="U766" s="1570"/>
      <c r="W766" s="1570"/>
      <c r="Y766" s="1570"/>
      <c r="AC766" s="62"/>
      <c r="AE766" s="62"/>
      <c r="AF766" s="1570"/>
      <c r="AG766" s="795"/>
      <c r="AJ766" s="282"/>
      <c r="AK766" s="62"/>
      <c r="AL766" s="1570"/>
    </row>
    <row r="767" spans="19:38">
      <c r="S767" s="1570"/>
      <c r="U767" s="1570"/>
      <c r="W767" s="1570"/>
      <c r="Y767" s="1570"/>
      <c r="AC767" s="62"/>
      <c r="AE767" s="62"/>
      <c r="AF767" s="1570"/>
      <c r="AG767" s="795"/>
      <c r="AJ767" s="282"/>
      <c r="AK767" s="62"/>
      <c r="AL767" s="1570"/>
    </row>
    <row r="768" spans="19:38">
      <c r="S768" s="1570"/>
      <c r="U768" s="1570"/>
      <c r="W768" s="1570"/>
      <c r="Y768" s="1570"/>
      <c r="AC768" s="62"/>
      <c r="AE768" s="62"/>
      <c r="AF768" s="1570"/>
      <c r="AG768" s="795"/>
      <c r="AJ768" s="282"/>
      <c r="AK768" s="62"/>
      <c r="AL768" s="1570"/>
    </row>
    <row r="769" spans="19:38">
      <c r="S769" s="1570"/>
      <c r="U769" s="1570"/>
      <c r="W769" s="1570"/>
      <c r="Y769" s="1570"/>
      <c r="AC769" s="62"/>
      <c r="AE769" s="62"/>
      <c r="AF769" s="1570"/>
      <c r="AG769" s="795"/>
      <c r="AJ769" s="282"/>
      <c r="AK769" s="62"/>
      <c r="AL769" s="1570"/>
    </row>
    <row r="770" spans="19:38">
      <c r="S770" s="1570"/>
      <c r="U770" s="1570"/>
      <c r="W770" s="1570"/>
      <c r="Y770" s="1570"/>
      <c r="AC770" s="62"/>
      <c r="AE770" s="62"/>
      <c r="AF770" s="1570"/>
      <c r="AG770" s="795"/>
      <c r="AJ770" s="282"/>
      <c r="AK770" s="62"/>
      <c r="AL770" s="1570"/>
    </row>
    <row r="771" spans="19:38">
      <c r="S771" s="1570"/>
      <c r="U771" s="1570"/>
      <c r="W771" s="1570"/>
      <c r="Y771" s="1570"/>
      <c r="AC771" s="62"/>
      <c r="AE771" s="62"/>
      <c r="AF771" s="1570"/>
      <c r="AG771" s="795"/>
      <c r="AJ771" s="282"/>
      <c r="AK771" s="62"/>
      <c r="AL771" s="1570"/>
    </row>
    <row r="772" spans="19:38">
      <c r="S772" s="1570"/>
      <c r="U772" s="1570"/>
      <c r="W772" s="1570"/>
      <c r="Y772" s="1570"/>
      <c r="AC772" s="62"/>
      <c r="AE772" s="62"/>
      <c r="AF772" s="1570"/>
      <c r="AG772" s="795"/>
      <c r="AJ772" s="282"/>
      <c r="AK772" s="62"/>
      <c r="AL772" s="1570"/>
    </row>
    <row r="773" spans="19:38">
      <c r="S773" s="1570"/>
      <c r="U773" s="1570"/>
      <c r="W773" s="1570"/>
      <c r="Y773" s="1570"/>
      <c r="AC773" s="62"/>
      <c r="AE773" s="62"/>
      <c r="AF773" s="1570"/>
      <c r="AG773" s="795"/>
      <c r="AJ773" s="282"/>
      <c r="AK773" s="62"/>
      <c r="AL773" s="1570"/>
    </row>
    <row r="774" spans="19:38">
      <c r="S774" s="1570"/>
      <c r="U774" s="1570"/>
      <c r="W774" s="1570"/>
      <c r="Y774" s="1570"/>
      <c r="AC774" s="62"/>
      <c r="AE774" s="62"/>
      <c r="AF774" s="1570"/>
      <c r="AG774" s="795"/>
      <c r="AJ774" s="282"/>
      <c r="AK774" s="62"/>
      <c r="AL774" s="1570"/>
    </row>
    <row r="775" spans="19:38">
      <c r="S775" s="1570"/>
      <c r="U775" s="1570"/>
      <c r="W775" s="1570"/>
      <c r="Y775" s="1570"/>
      <c r="AC775" s="62"/>
      <c r="AE775" s="62"/>
      <c r="AF775" s="1570"/>
      <c r="AG775" s="795"/>
      <c r="AJ775" s="282"/>
      <c r="AK775" s="62"/>
      <c r="AL775" s="1570"/>
    </row>
    <row r="776" spans="19:38">
      <c r="S776" s="1570"/>
      <c r="U776" s="1570"/>
      <c r="W776" s="1570"/>
      <c r="Y776" s="1570"/>
      <c r="AC776" s="62"/>
      <c r="AE776" s="62"/>
      <c r="AF776" s="1570"/>
      <c r="AG776" s="795"/>
      <c r="AJ776" s="282"/>
      <c r="AK776" s="62"/>
      <c r="AL776" s="1570"/>
    </row>
    <row r="777" spans="19:38">
      <c r="S777" s="1570"/>
      <c r="U777" s="1570"/>
      <c r="W777" s="1570"/>
      <c r="Y777" s="1570"/>
      <c r="AC777" s="62"/>
      <c r="AE777" s="62"/>
      <c r="AF777" s="1570"/>
      <c r="AG777" s="795"/>
      <c r="AJ777" s="282"/>
      <c r="AK777" s="62"/>
      <c r="AL777" s="1570"/>
    </row>
    <row r="778" spans="19:38">
      <c r="S778" s="1570"/>
      <c r="U778" s="1570"/>
      <c r="W778" s="1570"/>
      <c r="Y778" s="1570"/>
      <c r="AC778" s="62"/>
      <c r="AE778" s="62"/>
      <c r="AF778" s="1570"/>
      <c r="AG778" s="795"/>
      <c r="AJ778" s="282"/>
      <c r="AK778" s="62"/>
      <c r="AL778" s="1570"/>
    </row>
    <row r="779" spans="19:38">
      <c r="S779" s="1570"/>
      <c r="U779" s="1570"/>
      <c r="W779" s="1570"/>
      <c r="Y779" s="1570"/>
      <c r="AC779" s="62"/>
      <c r="AE779" s="62"/>
      <c r="AF779" s="1570"/>
      <c r="AG779" s="795"/>
      <c r="AJ779" s="282"/>
      <c r="AK779" s="62"/>
      <c r="AL779" s="1570"/>
    </row>
    <row r="780" spans="19:38">
      <c r="S780" s="1570"/>
      <c r="U780" s="1570"/>
      <c r="W780" s="1570"/>
      <c r="Y780" s="1570"/>
      <c r="AC780" s="62"/>
      <c r="AE780" s="62"/>
      <c r="AF780" s="1570"/>
      <c r="AG780" s="795"/>
      <c r="AJ780" s="282"/>
      <c r="AK780" s="62"/>
      <c r="AL780" s="1570"/>
    </row>
    <row r="781" spans="19:38">
      <c r="S781" s="1570"/>
      <c r="U781" s="1570"/>
      <c r="W781" s="1570"/>
      <c r="Y781" s="1570"/>
      <c r="AC781" s="62"/>
      <c r="AE781" s="62"/>
      <c r="AF781" s="1570"/>
      <c r="AG781" s="795"/>
      <c r="AJ781" s="282"/>
      <c r="AK781" s="62"/>
      <c r="AL781" s="1570"/>
    </row>
    <row r="782" spans="19:38">
      <c r="S782" s="1570"/>
      <c r="U782" s="1570"/>
      <c r="W782" s="1570"/>
      <c r="Y782" s="1570"/>
      <c r="AC782" s="62"/>
      <c r="AE782" s="62"/>
      <c r="AF782" s="1570"/>
      <c r="AG782" s="795"/>
      <c r="AJ782" s="282"/>
      <c r="AK782" s="62"/>
      <c r="AL782" s="1570"/>
    </row>
    <row r="783" spans="19:38">
      <c r="S783" s="1570"/>
      <c r="U783" s="1570"/>
      <c r="W783" s="1570"/>
      <c r="Y783" s="1570"/>
      <c r="AC783" s="62"/>
      <c r="AE783" s="62"/>
      <c r="AF783" s="1570"/>
      <c r="AG783" s="795"/>
      <c r="AJ783" s="282"/>
      <c r="AK783" s="62"/>
      <c r="AL783" s="1570"/>
    </row>
    <row r="784" spans="19:38">
      <c r="S784" s="1570"/>
      <c r="U784" s="1570"/>
      <c r="W784" s="1570"/>
      <c r="Y784" s="1570"/>
      <c r="AC784" s="62"/>
      <c r="AE784" s="62"/>
      <c r="AF784" s="1570"/>
      <c r="AG784" s="795"/>
      <c r="AJ784" s="282"/>
      <c r="AK784" s="62"/>
      <c r="AL784" s="1570"/>
    </row>
    <row r="785" spans="18:38">
      <c r="S785" s="1570"/>
      <c r="U785" s="1570"/>
      <c r="W785" s="1570"/>
      <c r="Y785" s="1570"/>
      <c r="AC785" s="62"/>
      <c r="AE785" s="62"/>
      <c r="AF785" s="1570"/>
      <c r="AG785" s="795"/>
      <c r="AJ785" s="282"/>
      <c r="AK785" s="62"/>
      <c r="AL785" s="1570"/>
    </row>
    <row r="786" spans="18:38">
      <c r="S786" s="1570"/>
      <c r="U786" s="1570"/>
      <c r="W786" s="1570"/>
      <c r="Y786" s="1570"/>
      <c r="AC786" s="62"/>
      <c r="AE786" s="62"/>
      <c r="AF786" s="1570"/>
      <c r="AG786" s="795"/>
      <c r="AJ786" s="282"/>
      <c r="AK786" s="62"/>
      <c r="AL786" s="1570"/>
    </row>
    <row r="787" spans="18:38">
      <c r="S787" s="1570"/>
      <c r="U787" s="1570"/>
      <c r="W787" s="1570"/>
      <c r="Y787" s="1570"/>
      <c r="AC787" s="62"/>
      <c r="AE787" s="62"/>
      <c r="AF787" s="1570"/>
      <c r="AG787" s="795"/>
      <c r="AJ787" s="282"/>
      <c r="AK787" s="62"/>
      <c r="AL787" s="1570"/>
    </row>
    <row r="788" spans="18:38">
      <c r="S788" s="1570"/>
      <c r="U788" s="1570"/>
      <c r="W788" s="1570"/>
      <c r="Y788" s="1570"/>
      <c r="AC788" s="62"/>
      <c r="AE788" s="62"/>
      <c r="AF788" s="1570"/>
      <c r="AG788" s="795"/>
      <c r="AJ788" s="282"/>
      <c r="AK788" s="62"/>
      <c r="AL788" s="1570"/>
    </row>
    <row r="789" spans="18:38">
      <c r="S789" s="1570"/>
      <c r="U789" s="1570"/>
      <c r="W789" s="1570"/>
      <c r="Y789" s="1570"/>
      <c r="AC789" s="62"/>
      <c r="AE789" s="62"/>
      <c r="AF789" s="1570"/>
      <c r="AG789" s="795"/>
      <c r="AJ789" s="282"/>
      <c r="AK789" s="62"/>
      <c r="AL789" s="1570"/>
    </row>
    <row r="790" spans="18:38">
      <c r="S790" s="1570"/>
      <c r="U790" s="1570"/>
      <c r="W790" s="1570"/>
      <c r="Y790" s="1570"/>
      <c r="AC790" s="62"/>
      <c r="AE790" s="62"/>
      <c r="AF790" s="1570"/>
      <c r="AG790" s="795"/>
      <c r="AJ790" s="282"/>
      <c r="AK790" s="62"/>
      <c r="AL790" s="1570"/>
    </row>
    <row r="791" spans="18:38">
      <c r="S791" s="1570"/>
      <c r="U791" s="1570"/>
      <c r="W791" s="1570"/>
      <c r="Y791" s="1570"/>
      <c r="AC791" s="62"/>
      <c r="AE791" s="62"/>
      <c r="AF791" s="1570"/>
      <c r="AG791" s="795"/>
      <c r="AJ791" s="282"/>
      <c r="AK791" s="62"/>
      <c r="AL791" s="1570"/>
    </row>
    <row r="792" spans="18:38">
      <c r="S792" s="1570"/>
      <c r="U792" s="1570"/>
      <c r="W792" s="1570"/>
      <c r="Y792" s="1570"/>
      <c r="AC792" s="62"/>
      <c r="AE792" s="62"/>
      <c r="AF792" s="1570"/>
      <c r="AG792" s="795"/>
      <c r="AJ792" s="282"/>
      <c r="AK792" s="62"/>
      <c r="AL792" s="1570"/>
    </row>
    <row r="793" spans="18:38">
      <c r="S793" s="1570"/>
      <c r="U793" s="1570"/>
      <c r="W793" s="1570"/>
      <c r="Y793" s="1570"/>
      <c r="AC793" s="62"/>
      <c r="AE793" s="62"/>
      <c r="AF793" s="1570"/>
      <c r="AG793" s="795"/>
      <c r="AJ793" s="282"/>
      <c r="AK793" s="62"/>
      <c r="AL793" s="1570"/>
    </row>
    <row r="794" spans="18:38">
      <c r="S794" s="1570"/>
      <c r="U794" s="1570"/>
      <c r="W794" s="1570"/>
      <c r="Y794" s="1570"/>
      <c r="AE794" s="62"/>
      <c r="AF794" s="1570"/>
      <c r="AG794" s="795"/>
      <c r="AK794" s="62"/>
      <c r="AL794" s="1570"/>
    </row>
    <row r="795" spans="18:38">
      <c r="S795" s="1570"/>
      <c r="U795" s="1570"/>
      <c r="W795" s="1570"/>
      <c r="Y795" s="1570"/>
      <c r="AE795" s="62"/>
      <c r="AF795" s="1570"/>
      <c r="AG795" s="795"/>
      <c r="AK795" s="62"/>
      <c r="AL795" s="1570"/>
    </row>
    <row r="796" spans="18:38">
      <c r="R796" s="1570"/>
      <c r="S796" s="1570"/>
      <c r="T796" s="1570"/>
      <c r="U796" s="1570"/>
      <c r="AD796" s="62"/>
      <c r="AK796" s="1570"/>
    </row>
    <row r="797" spans="18:38">
      <c r="R797" s="1570"/>
      <c r="S797" s="1570"/>
      <c r="T797" s="1570"/>
      <c r="U797" s="1570"/>
      <c r="AD797" s="62"/>
      <c r="AK797" s="1570"/>
    </row>
    <row r="803" spans="18:21">
      <c r="R803" s="1570"/>
      <c r="S803" s="1570"/>
      <c r="T803" s="1570"/>
      <c r="U803" s="1570"/>
    </row>
    <row r="804" spans="18:21">
      <c r="R804" s="1570"/>
      <c r="S804" s="1570"/>
      <c r="T804" s="1570"/>
      <c r="U804" s="1570"/>
    </row>
    <row r="808" spans="18:21">
      <c r="R808" s="1570"/>
      <c r="S808" s="1570"/>
      <c r="T808" s="1570"/>
      <c r="U808" s="1570"/>
    </row>
    <row r="813" spans="18:21">
      <c r="R813" s="1570"/>
      <c r="S813" s="1570"/>
      <c r="T813" s="1570"/>
      <c r="U813" s="1570"/>
    </row>
  </sheetData>
  <phoneticPr fontId="53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5852-192B-46CF-A756-0599F67DE923}">
  <sheetPr>
    <pageSetUpPr fitToPage="1"/>
  </sheetPr>
  <dimension ref="B1:AH203"/>
  <sheetViews>
    <sheetView topLeftCell="A39" zoomScaleNormal="100" workbookViewId="0">
      <pane xSplit="1" topLeftCell="B1" activePane="topRight" state="frozen"/>
      <selection pane="topRight" sqref="A1:T50"/>
    </sheetView>
  </sheetViews>
  <sheetFormatPr defaultRowHeight="15"/>
  <cols>
    <col min="1" max="1" width="1.85546875" customWidth="1"/>
    <col min="2" max="2" width="4" customWidth="1"/>
    <col min="3" max="3" width="29" customWidth="1"/>
    <col min="4" max="4" width="7.7109375" customWidth="1"/>
    <col min="5" max="5" width="7.28515625" customWidth="1"/>
    <col min="6" max="6" width="6.85546875" customWidth="1"/>
    <col min="7" max="7" width="5.5703125" customWidth="1"/>
    <col min="8" max="8" width="6.140625" customWidth="1"/>
    <col min="9" max="9" width="6.85546875" customWidth="1"/>
    <col min="10" max="10" width="6.42578125" customWidth="1"/>
    <col min="11" max="11" width="6" customWidth="1"/>
    <col min="12" max="12" width="6.7109375" customWidth="1"/>
    <col min="13" max="13" width="6.28515625" customWidth="1"/>
    <col min="14" max="14" width="6" customWidth="1"/>
    <col min="15" max="15" width="5.7109375" customWidth="1"/>
    <col min="16" max="16" width="5.85546875" customWidth="1"/>
    <col min="17" max="17" width="6.42578125" customWidth="1"/>
    <col min="18" max="18" width="6" customWidth="1"/>
    <col min="19" max="19" width="6.42578125" customWidth="1"/>
    <col min="20" max="20" width="7" customWidth="1"/>
    <col min="21" max="21" width="11.140625" customWidth="1"/>
    <col min="23" max="23" width="7.7109375" customWidth="1"/>
    <col min="24" max="25" width="8.140625" customWidth="1"/>
    <col min="26" max="26" width="19.28515625" customWidth="1"/>
    <col min="28" max="28" width="7.5703125" customWidth="1"/>
    <col min="29" max="29" width="9.85546875" customWidth="1"/>
    <col min="30" max="30" width="11.42578125" customWidth="1"/>
    <col min="31" max="31" width="8" customWidth="1"/>
  </cols>
  <sheetData>
    <row r="1" spans="2:31" ht="10.5" customHeight="1"/>
    <row r="2" spans="2:31" ht="15.75" thickBot="1">
      <c r="B2" s="143" t="s">
        <v>514</v>
      </c>
      <c r="D2" s="94" t="s">
        <v>27</v>
      </c>
      <c r="J2" t="s">
        <v>439</v>
      </c>
      <c r="O2" s="29"/>
      <c r="P2" s="29"/>
    </row>
    <row r="3" spans="2:31" ht="13.5" customHeight="1">
      <c r="B3" s="88"/>
      <c r="C3" s="634"/>
      <c r="D3" s="27" t="s">
        <v>28</v>
      </c>
      <c r="E3" s="67" t="s">
        <v>353</v>
      </c>
      <c r="F3" s="67"/>
      <c r="G3" s="67"/>
      <c r="H3" s="67"/>
      <c r="I3" s="67"/>
      <c r="J3" s="67"/>
      <c r="K3" s="67"/>
      <c r="L3" s="67"/>
      <c r="M3" s="51"/>
      <c r="N3" s="51"/>
      <c r="Q3" s="173" t="s">
        <v>29</v>
      </c>
      <c r="R3" s="173" t="s">
        <v>30</v>
      </c>
      <c r="S3" s="2236" t="s">
        <v>933</v>
      </c>
      <c r="T3" s="2236" t="s">
        <v>933</v>
      </c>
      <c r="V3" s="22"/>
      <c r="W3" s="13"/>
      <c r="AA3" s="9"/>
      <c r="AB3" s="9"/>
      <c r="AC3" s="13"/>
    </row>
    <row r="4" spans="2:31" ht="13.5" customHeight="1">
      <c r="B4" s="61"/>
      <c r="C4" s="635"/>
      <c r="D4" s="636" t="s">
        <v>287</v>
      </c>
      <c r="E4" s="14" t="s">
        <v>390</v>
      </c>
      <c r="F4" s="14"/>
      <c r="G4" s="14"/>
      <c r="H4" s="14"/>
      <c r="I4" s="14"/>
      <c r="J4" s="14"/>
      <c r="K4" s="14"/>
      <c r="L4" s="14"/>
      <c r="M4" s="13"/>
      <c r="N4" s="13"/>
      <c r="Q4" s="1517" t="s">
        <v>303</v>
      </c>
      <c r="R4" s="636" t="s">
        <v>31</v>
      </c>
      <c r="S4" s="2237" t="s">
        <v>129</v>
      </c>
      <c r="T4" s="2237" t="s">
        <v>129</v>
      </c>
      <c r="V4" s="22"/>
      <c r="W4" s="13"/>
      <c r="AA4" s="9"/>
      <c r="AB4" s="9"/>
      <c r="AC4" s="13"/>
    </row>
    <row r="5" spans="2:31" ht="12.75" customHeight="1" thickBot="1">
      <c r="B5" s="61"/>
      <c r="C5" s="637" t="s">
        <v>32</v>
      </c>
      <c r="D5" s="70" t="s">
        <v>29</v>
      </c>
      <c r="E5" s="72" t="s">
        <v>302</v>
      </c>
      <c r="F5" s="72"/>
      <c r="G5" s="72"/>
      <c r="H5" s="72"/>
      <c r="I5" t="s">
        <v>548</v>
      </c>
      <c r="K5" s="72"/>
      <c r="L5" s="48" t="s">
        <v>145</v>
      </c>
      <c r="M5" s="52"/>
      <c r="N5" s="52"/>
      <c r="Q5" s="636" t="s">
        <v>34</v>
      </c>
      <c r="R5" s="636" t="s">
        <v>33</v>
      </c>
      <c r="S5" s="2238" t="s">
        <v>934</v>
      </c>
      <c r="T5" s="2237" t="s">
        <v>934</v>
      </c>
      <c r="V5" s="22"/>
      <c r="W5" s="13"/>
      <c r="AA5" s="9"/>
      <c r="AB5" s="9"/>
      <c r="AC5" s="22"/>
      <c r="AD5" s="62"/>
      <c r="AE5" s="62"/>
    </row>
    <row r="6" spans="2:31">
      <c r="B6" s="61" t="s">
        <v>288</v>
      </c>
      <c r="C6" s="635"/>
      <c r="D6" s="69" t="s">
        <v>46</v>
      </c>
      <c r="E6" s="27" t="s">
        <v>35</v>
      </c>
      <c r="F6" s="27" t="s">
        <v>36</v>
      </c>
      <c r="G6" s="27" t="s">
        <v>37</v>
      </c>
      <c r="H6" s="27" t="s">
        <v>38</v>
      </c>
      <c r="I6" s="26" t="s">
        <v>39</v>
      </c>
      <c r="J6" s="27" t="s">
        <v>40</v>
      </c>
      <c r="K6" s="26" t="s">
        <v>41</v>
      </c>
      <c r="L6" s="27" t="s">
        <v>42</v>
      </c>
      <c r="M6" s="26" t="s">
        <v>43</v>
      </c>
      <c r="N6" s="1101" t="s">
        <v>44</v>
      </c>
      <c r="O6" s="27" t="s">
        <v>549</v>
      </c>
      <c r="P6" s="1101" t="s">
        <v>550</v>
      </c>
      <c r="Q6" s="636">
        <v>12</v>
      </c>
      <c r="R6" s="636" t="s">
        <v>45</v>
      </c>
      <c r="S6" s="636" t="s">
        <v>34</v>
      </c>
      <c r="T6" s="1517" t="s">
        <v>935</v>
      </c>
      <c r="V6" s="22"/>
      <c r="W6" s="13"/>
      <c r="AA6" s="9"/>
      <c r="AB6" s="9"/>
      <c r="AC6" s="22"/>
      <c r="AD6" s="62"/>
    </row>
    <row r="7" spans="2:31" ht="12" customHeight="1">
      <c r="B7" s="61"/>
      <c r="C7" s="637" t="s">
        <v>289</v>
      </c>
      <c r="E7" s="70" t="s">
        <v>47</v>
      </c>
      <c r="F7" s="70" t="s">
        <v>47</v>
      </c>
      <c r="G7" s="70" t="s">
        <v>47</v>
      </c>
      <c r="H7" s="70" t="s">
        <v>47</v>
      </c>
      <c r="I7" s="22" t="s">
        <v>47</v>
      </c>
      <c r="J7" s="70" t="s">
        <v>47</v>
      </c>
      <c r="K7" s="70" t="s">
        <v>47</v>
      </c>
      <c r="L7" s="22" t="s">
        <v>47</v>
      </c>
      <c r="M7" s="70" t="s">
        <v>47</v>
      </c>
      <c r="N7" s="607" t="s">
        <v>47</v>
      </c>
      <c r="O7" s="70" t="s">
        <v>47</v>
      </c>
      <c r="P7" s="607" t="s">
        <v>47</v>
      </c>
      <c r="Q7" s="636" t="s">
        <v>936</v>
      </c>
      <c r="R7" s="636" t="s">
        <v>279</v>
      </c>
      <c r="S7" s="636" t="s">
        <v>937</v>
      </c>
      <c r="T7" s="1517"/>
      <c r="V7" s="22"/>
      <c r="W7" s="13"/>
      <c r="AA7" s="9"/>
      <c r="AB7" s="9"/>
      <c r="AC7" s="13"/>
      <c r="AD7" s="62"/>
      <c r="AE7" s="62"/>
    </row>
    <row r="8" spans="2:31" ht="14.25" customHeight="1" thickBot="1">
      <c r="B8" s="61"/>
      <c r="C8" s="638"/>
      <c r="D8" s="73" t="s">
        <v>290</v>
      </c>
      <c r="E8" s="52"/>
      <c r="F8" s="53"/>
      <c r="G8" s="52"/>
      <c r="H8" s="53"/>
      <c r="I8" s="106"/>
      <c r="J8" s="53"/>
      <c r="K8" s="53"/>
      <c r="L8" s="52"/>
      <c r="M8" s="53"/>
      <c r="N8" s="106"/>
      <c r="O8" s="985"/>
      <c r="P8" s="647"/>
      <c r="Q8" s="636"/>
      <c r="R8" s="636" t="s">
        <v>280</v>
      </c>
      <c r="S8" s="2239">
        <v>0.25</v>
      </c>
      <c r="T8" s="2240">
        <v>1</v>
      </c>
      <c r="V8" s="22"/>
      <c r="W8" s="13"/>
      <c r="Y8" s="345"/>
      <c r="Z8" s="22"/>
      <c r="AA8" s="9"/>
      <c r="AB8" s="9"/>
      <c r="AC8" s="14"/>
      <c r="AD8" s="3"/>
      <c r="AE8" s="3"/>
    </row>
    <row r="9" spans="2:31">
      <c r="B9" s="639">
        <v>1</v>
      </c>
      <c r="C9" s="1102" t="s">
        <v>291</v>
      </c>
      <c r="D9" s="1105">
        <v>30</v>
      </c>
      <c r="E9" s="1106">
        <f>'12-18л. РАСКЛАДКА'!Q11</f>
        <v>40</v>
      </c>
      <c r="F9" s="1107">
        <f>'12-18л. РАСКЛАДКА'!Q70</f>
        <v>40</v>
      </c>
      <c r="G9" s="1107">
        <f>'12-18л. РАСКЛАДКА'!Q132</f>
        <v>30</v>
      </c>
      <c r="H9" s="1107">
        <f>'12-18л. РАСКЛАДКА'!Q189</f>
        <v>0</v>
      </c>
      <c r="I9" s="1107">
        <f>'12-18л. РАСКЛАДКА'!Q245</f>
        <v>30</v>
      </c>
      <c r="J9" s="1129">
        <f>'12-18л. РАСКЛАДКА'!Q300</f>
        <v>30</v>
      </c>
      <c r="K9" s="1107">
        <f>'12-18л. РАСКЛАДКА'!Q354</f>
        <v>30</v>
      </c>
      <c r="L9" s="1107">
        <f>'12-18л. РАСКЛАДКА'!Q405</f>
        <v>30</v>
      </c>
      <c r="M9" s="1107">
        <f>'12-18л. РАСКЛАДКА'!Q458</f>
        <v>30</v>
      </c>
      <c r="N9" s="1107">
        <f>'12-18л. РАСКЛАДКА'!Q513</f>
        <v>40</v>
      </c>
      <c r="O9" s="1107">
        <f>'12-18л. РАСКЛАДКА'!Q567</f>
        <v>40</v>
      </c>
      <c r="P9" s="2215">
        <f>'12-18л. РАСКЛАДКА'!Q623</f>
        <v>20</v>
      </c>
      <c r="Q9" s="2250">
        <f>E9+F9+G9+H9+I9+J9+K9+L9+M9+N9+O9+P9</f>
        <v>360</v>
      </c>
      <c r="R9" s="2614">
        <f>(Q9*100/S9)-100</f>
        <v>0</v>
      </c>
      <c r="S9" s="2241">
        <f>(T9*25/100)*12</f>
        <v>360</v>
      </c>
      <c r="T9" s="2242">
        <v>120</v>
      </c>
      <c r="Y9" s="927"/>
      <c r="Z9" s="13"/>
      <c r="AA9" s="925"/>
      <c r="AB9" s="22"/>
      <c r="AC9" s="22"/>
      <c r="AD9" s="3"/>
      <c r="AE9" s="3"/>
    </row>
    <row r="10" spans="2:31">
      <c r="B10" s="596">
        <v>2</v>
      </c>
      <c r="C10" s="1103" t="s">
        <v>48</v>
      </c>
      <c r="D10" s="1108">
        <v>50</v>
      </c>
      <c r="E10" s="157">
        <f>'12-18л. РАСКЛАДКА'!Q12</f>
        <v>40</v>
      </c>
      <c r="F10" s="950">
        <f>'12-18л. РАСКЛАДКА'!Q71</f>
        <v>60</v>
      </c>
      <c r="G10" s="950">
        <f>'12-18л. РАСКЛАДКА'!Q133</f>
        <v>52</v>
      </c>
      <c r="H10" s="950">
        <f>'12-18л. РАСКЛАДКА'!Q190</f>
        <v>30</v>
      </c>
      <c r="I10" s="950">
        <f>'12-18л. РАСКЛАДКА'!Q246</f>
        <v>68</v>
      </c>
      <c r="J10" s="226">
        <f>'12-18л. РАСКЛАДКА'!Q301</f>
        <v>50</v>
      </c>
      <c r="K10" s="950">
        <f>'12-18л. РАСКЛАДКА'!Q355</f>
        <v>50</v>
      </c>
      <c r="L10" s="950">
        <f>'12-18л. РАСКЛАДКА'!Q406</f>
        <v>40</v>
      </c>
      <c r="M10" s="950">
        <f>'12-18л. РАСКЛАДКА'!Q459</f>
        <v>40</v>
      </c>
      <c r="N10" s="950">
        <f>'12-18л. РАСКЛАДКА'!Q514</f>
        <v>50</v>
      </c>
      <c r="O10" s="950">
        <f>'12-18л. РАСКЛАДКА'!Q568</f>
        <v>70</v>
      </c>
      <c r="P10" s="2216">
        <f>'12-18л. РАСКЛАДКА'!Q624</f>
        <v>50</v>
      </c>
      <c r="Q10" s="2251">
        <f t="shared" ref="Q10:Q43" si="0">E10+F10+G10+H10+I10+J10+K10+L10+M10+N10+O10+P10</f>
        <v>600</v>
      </c>
      <c r="R10" s="2564">
        <f t="shared" ref="R10:R43" si="1">(Q10*100/S10)-100</f>
        <v>0</v>
      </c>
      <c r="S10" s="2243">
        <f t="shared" ref="S10:S43" si="2">(T10*25/100)*12</f>
        <v>600</v>
      </c>
      <c r="T10" s="2244">
        <v>200</v>
      </c>
      <c r="Y10" s="927"/>
      <c r="Z10" s="13"/>
      <c r="AA10" s="930"/>
      <c r="AB10" s="22"/>
      <c r="AC10" s="22"/>
      <c r="AD10" s="3"/>
      <c r="AE10" s="3"/>
    </row>
    <row r="11" spans="2:31">
      <c r="B11" s="596">
        <v>3</v>
      </c>
      <c r="C11" s="1103" t="s">
        <v>49</v>
      </c>
      <c r="D11" s="1108">
        <v>5</v>
      </c>
      <c r="E11" s="157">
        <f>'12-18л. РАСКЛАДКА'!Q13</f>
        <v>0</v>
      </c>
      <c r="F11" s="950">
        <f>'12-18л. РАСКЛАДКА'!Q72</f>
        <v>0</v>
      </c>
      <c r="G11" s="950">
        <f>'12-18л. РАСКЛАДКА'!Q134</f>
        <v>12.100000000000001</v>
      </c>
      <c r="H11" s="950">
        <f>'12-18л. РАСКЛАДКА'!Q191</f>
        <v>15.6</v>
      </c>
      <c r="I11" s="950">
        <f>'12-18л. РАСКЛАДКА'!Q247</f>
        <v>12.7</v>
      </c>
      <c r="J11" s="226">
        <f>'12-18л. РАСКЛАДКА'!Q302</f>
        <v>0</v>
      </c>
      <c r="K11" s="950">
        <f>'12-18л. РАСКЛАДКА'!Q356</f>
        <v>0</v>
      </c>
      <c r="L11" s="950">
        <f>'12-18л. РАСКЛАДКА'!Q407</f>
        <v>7.2899999999999991</v>
      </c>
      <c r="M11" s="950">
        <f>'12-18л. РАСКЛАДКА'!Q460</f>
        <v>6.580000000000001</v>
      </c>
      <c r="N11" s="950">
        <f>'12-18л. РАСКЛАДКА'!Q515</f>
        <v>0</v>
      </c>
      <c r="O11" s="950">
        <f>'12-18л. РАСКЛАДКА'!Q569</f>
        <v>0</v>
      </c>
      <c r="P11" s="2216">
        <f>'12-18л. РАСКЛАДКА'!Q625</f>
        <v>5.73</v>
      </c>
      <c r="Q11" s="2251">
        <f t="shared" si="0"/>
        <v>60</v>
      </c>
      <c r="R11" s="2564">
        <f t="shared" si="1"/>
        <v>0</v>
      </c>
      <c r="S11" s="2243">
        <f t="shared" si="2"/>
        <v>60</v>
      </c>
      <c r="T11" s="2244">
        <v>20</v>
      </c>
      <c r="Y11" s="927"/>
      <c r="Z11" s="13"/>
      <c r="AA11" s="925"/>
      <c r="AB11" s="22"/>
      <c r="AC11" s="22"/>
      <c r="AD11" s="3"/>
      <c r="AE11" s="3"/>
    </row>
    <row r="12" spans="2:31">
      <c r="B12" s="596">
        <v>4</v>
      </c>
      <c r="C12" s="1103" t="s">
        <v>50</v>
      </c>
      <c r="D12" s="1108">
        <v>12.5</v>
      </c>
      <c r="E12" s="157">
        <f>'12-18л. РАСКЛАДКА'!Q14</f>
        <v>31</v>
      </c>
      <c r="F12" s="950">
        <f>'12-18л. РАСКЛАДКА'!Q73</f>
        <v>51</v>
      </c>
      <c r="G12" s="950">
        <f>'12-18л. РАСКЛАДКА'!Q135</f>
        <v>0</v>
      </c>
      <c r="H12" s="950">
        <f>'12-18л. РАСКЛАДКА'!Q192</f>
        <v>0</v>
      </c>
      <c r="I12" s="950">
        <f>'12-18л. РАСКЛАДКА'!Q248</f>
        <v>0</v>
      </c>
      <c r="J12" s="226">
        <f>'12-18л. РАСКЛАДКА'!Q303</f>
        <v>38</v>
      </c>
      <c r="K12" s="950">
        <f>'12-18л. РАСКЛАДКА'!Q357</f>
        <v>0</v>
      </c>
      <c r="L12" s="950">
        <f>'12-18л. РАСКЛАДКА'!Q408</f>
        <v>0</v>
      </c>
      <c r="M12" s="950">
        <f>'12-18л. РАСКЛАДКА'!Q461</f>
        <v>0</v>
      </c>
      <c r="N12" s="950">
        <f>'12-18л. РАСКЛАДКА'!Q516</f>
        <v>30</v>
      </c>
      <c r="O12" s="950">
        <f>'12-18л. РАСКЛАДКА'!Q570</f>
        <v>0</v>
      </c>
      <c r="P12" s="2216">
        <f>'12-18л. РАСКЛАДКА'!Q626</f>
        <v>0</v>
      </c>
      <c r="Q12" s="2251">
        <f t="shared" si="0"/>
        <v>150</v>
      </c>
      <c r="R12" s="2564">
        <f t="shared" si="1"/>
        <v>0</v>
      </c>
      <c r="S12" s="2243">
        <f t="shared" si="2"/>
        <v>150</v>
      </c>
      <c r="T12" s="2244">
        <v>50</v>
      </c>
      <c r="Y12" s="927"/>
      <c r="Z12" s="13"/>
      <c r="AA12" s="932"/>
      <c r="AB12" s="22"/>
      <c r="AC12" s="22"/>
      <c r="AD12" s="3"/>
      <c r="AE12" s="3"/>
    </row>
    <row r="13" spans="2:31">
      <c r="B13" s="596">
        <v>5</v>
      </c>
      <c r="C13" s="1103" t="s">
        <v>51</v>
      </c>
      <c r="D13" s="1108">
        <v>5</v>
      </c>
      <c r="E13" s="157">
        <f>'12-18л. РАСКЛАДКА'!Q15</f>
        <v>0</v>
      </c>
      <c r="F13" s="950">
        <f>'12-18л. РАСКЛАДКА'!Q74</f>
        <v>0</v>
      </c>
      <c r="G13" s="950">
        <f>'12-18л. РАСКЛАДКА'!Q136</f>
        <v>0</v>
      </c>
      <c r="H13" s="950">
        <f>'12-18л. РАСКЛАДКА'!Q193</f>
        <v>0</v>
      </c>
      <c r="I13" s="950">
        <f>'12-18л. РАСКЛАДКА'!Q249</f>
        <v>0</v>
      </c>
      <c r="J13" s="226">
        <f>'12-18л. РАСКЛАДКА'!Q304</f>
        <v>0</v>
      </c>
      <c r="K13" s="950">
        <f>'12-18л. РАСКЛАДКА'!Q358</f>
        <v>0</v>
      </c>
      <c r="L13" s="950">
        <f>'12-18л. РАСКЛАДКА'!Q409</f>
        <v>60</v>
      </c>
      <c r="M13" s="950">
        <f>'12-18л. РАСКЛАДКА'!Q462</f>
        <v>0</v>
      </c>
      <c r="N13" s="950">
        <f>'12-18л. РАСКЛАДКА'!Q517</f>
        <v>0</v>
      </c>
      <c r="O13" s="950">
        <f>'12-18л. РАСКЛАДКА'!Q571</f>
        <v>0</v>
      </c>
      <c r="P13" s="2216">
        <f>'12-18л. РАСКЛАДКА'!Q627</f>
        <v>0</v>
      </c>
      <c r="Q13" s="2251">
        <f t="shared" si="0"/>
        <v>60</v>
      </c>
      <c r="R13" s="2564">
        <f t="shared" si="1"/>
        <v>0</v>
      </c>
      <c r="S13" s="2243">
        <f t="shared" si="2"/>
        <v>60</v>
      </c>
      <c r="T13" s="2244">
        <v>20</v>
      </c>
      <c r="Y13" s="927"/>
      <c r="Z13" s="13"/>
      <c r="AA13" s="925"/>
      <c r="AB13" s="22"/>
      <c r="AC13" s="22"/>
      <c r="AD13" s="3"/>
      <c r="AE13" s="3"/>
    </row>
    <row r="14" spans="2:31">
      <c r="B14" s="596">
        <v>6</v>
      </c>
      <c r="C14" s="1103" t="s">
        <v>52</v>
      </c>
      <c r="D14" s="1108">
        <v>46.75</v>
      </c>
      <c r="E14" s="157">
        <f>'12-18л. РАСКЛАДКА'!Q16</f>
        <v>0</v>
      </c>
      <c r="F14" s="950">
        <f>'12-18л. РАСКЛАДКА'!Q75</f>
        <v>0</v>
      </c>
      <c r="G14" s="950">
        <f>'12-18л. РАСКЛАДКА'!Q137</f>
        <v>96.8</v>
      </c>
      <c r="H14" s="950">
        <f>'12-18л. РАСКЛАДКА'!Q194</f>
        <v>0</v>
      </c>
      <c r="I14" s="950">
        <f>'12-18л. РАСКЛАДКА'!Q250</f>
        <v>157.9</v>
      </c>
      <c r="J14" s="226">
        <f>'12-18л. РАСКЛАДКА'!Q305</f>
        <v>0</v>
      </c>
      <c r="K14" s="950">
        <f>'12-18л. РАСКЛАДКА'!Q359</f>
        <v>0</v>
      </c>
      <c r="L14" s="950">
        <f>'12-18л. РАСКЛАДКА'!Q410</f>
        <v>0</v>
      </c>
      <c r="M14" s="950">
        <f>'12-18л. РАСКЛАДКА'!Q463</f>
        <v>96.8</v>
      </c>
      <c r="N14" s="950">
        <f>'12-18л. РАСКЛАДКА'!Q518</f>
        <v>0</v>
      </c>
      <c r="O14" s="950">
        <f>'12-18л. РАСКЛАДКА'!Q572</f>
        <v>116</v>
      </c>
      <c r="P14" s="2216">
        <f>'12-18л. РАСКЛАДКА'!Q628</f>
        <v>93.5</v>
      </c>
      <c r="Q14" s="2251">
        <f t="shared" si="0"/>
        <v>561</v>
      </c>
      <c r="R14" s="2564">
        <f t="shared" si="1"/>
        <v>0</v>
      </c>
      <c r="S14" s="2243">
        <f t="shared" si="2"/>
        <v>561</v>
      </c>
      <c r="T14" s="2244">
        <v>187</v>
      </c>
      <c r="Y14" s="927"/>
      <c r="Z14" s="13"/>
      <c r="AA14" s="925"/>
      <c r="AB14" s="22"/>
      <c r="AC14" s="22"/>
      <c r="AD14" s="3"/>
      <c r="AE14" s="3"/>
    </row>
    <row r="15" spans="2:31">
      <c r="B15" s="596">
        <v>7</v>
      </c>
      <c r="C15" s="1103" t="s">
        <v>292</v>
      </c>
      <c r="D15" s="1108">
        <v>80</v>
      </c>
      <c r="E15" s="157">
        <f>'12-18л. РАСКЛАДКА'!Q17</f>
        <v>0</v>
      </c>
      <c r="F15" s="950">
        <f>'12-18л. РАСКЛАДКА'!Q76</f>
        <v>99.5</v>
      </c>
      <c r="G15" s="950">
        <f>'12-18л. РАСКЛАДКА'!Q138</f>
        <v>153</v>
      </c>
      <c r="H15" s="950">
        <f>'12-18л. РАСКЛАДКА'!Q195</f>
        <v>0</v>
      </c>
      <c r="I15" s="950">
        <f>'12-18л. РАСКЛАДКА'!Q251</f>
        <v>89.64500000000001</v>
      </c>
      <c r="J15" s="226">
        <f>'12-18л. РАСКЛАДКА'!Q306</f>
        <v>0</v>
      </c>
      <c r="K15" s="950">
        <f>'12-18л. РАСКЛАДКА'!Q360</f>
        <v>112.35</v>
      </c>
      <c r="L15" s="950">
        <f>'12-18л. РАСКЛАДКА'!Q411</f>
        <v>103.68</v>
      </c>
      <c r="M15" s="950">
        <f>'12-18л. РАСКЛАДКА'!Q464</f>
        <v>159.65</v>
      </c>
      <c r="N15" s="950">
        <f>'12-18л. РАСКЛАДКА'!Q519</f>
        <v>0</v>
      </c>
      <c r="O15" s="950">
        <f>'12-18л. РАСКЛАДКА'!Q573</f>
        <v>78.575000000000003</v>
      </c>
      <c r="P15" s="2216">
        <f>'12-18л. РАСКЛАДКА'!Q629</f>
        <v>163.6</v>
      </c>
      <c r="Q15" s="2251">
        <f t="shared" si="0"/>
        <v>960</v>
      </c>
      <c r="R15" s="2564">
        <f t="shared" si="1"/>
        <v>0</v>
      </c>
      <c r="S15" s="2243">
        <f t="shared" si="2"/>
        <v>960</v>
      </c>
      <c r="T15" s="2244">
        <v>320</v>
      </c>
      <c r="Y15" s="927"/>
      <c r="Z15" s="13"/>
      <c r="AA15" s="934"/>
      <c r="AB15" s="22"/>
      <c r="AC15" s="22"/>
      <c r="AD15" s="3"/>
      <c r="AE15" s="3"/>
    </row>
    <row r="16" spans="2:31">
      <c r="B16" s="596">
        <v>8</v>
      </c>
      <c r="C16" s="1103" t="s">
        <v>293</v>
      </c>
      <c r="D16" s="1108">
        <v>46.25</v>
      </c>
      <c r="E16" s="157">
        <f>'12-18л. РАСКЛАДКА'!Q18</f>
        <v>105</v>
      </c>
      <c r="F16" s="950">
        <f>'12-18л. РАСКЛАДКА'!Q77</f>
        <v>0</v>
      </c>
      <c r="G16" s="950">
        <f>'12-18л. РАСКЛАДКА'!Q139</f>
        <v>0</v>
      </c>
      <c r="H16" s="950">
        <f>'12-18л. РАСКЛАДКА'!Q196</f>
        <v>130</v>
      </c>
      <c r="I16" s="950">
        <f>'12-18л. РАСКЛАДКА'!Q252</f>
        <v>3</v>
      </c>
      <c r="J16" s="226">
        <f>'12-18л. РАСКЛАДКА'!Q307</f>
        <v>100</v>
      </c>
      <c r="K16" s="950">
        <f>'12-18л. РАСКЛАДКА'!Q361</f>
        <v>105</v>
      </c>
      <c r="L16" s="950">
        <f>'12-18л. РАСКЛАДКА'!Q412</f>
        <v>0</v>
      </c>
      <c r="M16" s="950">
        <f>'12-18л. РАСКЛАДКА'!Q465</f>
        <v>0</v>
      </c>
      <c r="N16" s="950">
        <f>'12-18л. РАСКЛАДКА'!Q520</f>
        <v>105</v>
      </c>
      <c r="O16" s="950">
        <f>'12-18л. РАСКЛАДКА'!Q574</f>
        <v>7</v>
      </c>
      <c r="P16" s="2216">
        <f>'12-18л. РАСКЛАДКА'!Q630</f>
        <v>0</v>
      </c>
      <c r="Q16" s="2251">
        <f t="shared" si="0"/>
        <v>555</v>
      </c>
      <c r="R16" s="2564">
        <f t="shared" si="1"/>
        <v>0</v>
      </c>
      <c r="S16" s="2243">
        <f t="shared" si="2"/>
        <v>555</v>
      </c>
      <c r="T16" s="2244">
        <v>185</v>
      </c>
      <c r="Y16" s="927"/>
      <c r="Z16" s="13"/>
      <c r="AA16" s="925"/>
      <c r="AB16" s="22"/>
      <c r="AC16" s="22"/>
      <c r="AD16" s="3"/>
      <c r="AE16" s="3"/>
    </row>
    <row r="17" spans="2:34">
      <c r="B17" s="596">
        <v>9</v>
      </c>
      <c r="C17" s="1103" t="s">
        <v>122</v>
      </c>
      <c r="D17" s="1108">
        <v>5</v>
      </c>
      <c r="E17" s="157">
        <f>'12-18л. РАСКЛАДКА'!Q19</f>
        <v>0</v>
      </c>
      <c r="F17" s="950">
        <f>'12-18л. РАСКЛАДКА'!Q78</f>
        <v>20</v>
      </c>
      <c r="G17" s="950">
        <f>'12-18л. РАСКЛАДКА'!Q140</f>
        <v>0</v>
      </c>
      <c r="H17" s="950">
        <f>'12-18л. РАСКЛАДКА'!Q197</f>
        <v>0</v>
      </c>
      <c r="I17" s="950">
        <f>'12-18л. РАСКЛАДКА'!Q253</f>
        <v>20</v>
      </c>
      <c r="J17" s="226">
        <f>'12-18л. РАСКЛАДКА'!Q308</f>
        <v>0</v>
      </c>
      <c r="K17" s="950">
        <f>'12-18л. РАСКЛАДКА'!Q362</f>
        <v>0</v>
      </c>
      <c r="L17" s="950">
        <f>'12-18л. РАСКЛАДКА'!Q413</f>
        <v>20</v>
      </c>
      <c r="M17" s="950">
        <f>'12-18л. РАСКЛАДКА'!Q466</f>
        <v>0</v>
      </c>
      <c r="N17" s="950">
        <f>'12-18л. РАСКЛАДКА'!Q521</f>
        <v>0</v>
      </c>
      <c r="O17" s="950">
        <f>'12-18л. РАСКЛАДКА'!Q575</f>
        <v>0</v>
      </c>
      <c r="P17" s="2216">
        <f>'12-18л. РАСКЛАДКА'!Q631</f>
        <v>0</v>
      </c>
      <c r="Q17" s="2251">
        <f t="shared" si="0"/>
        <v>60</v>
      </c>
      <c r="R17" s="2564">
        <f t="shared" si="1"/>
        <v>0</v>
      </c>
      <c r="S17" s="2243">
        <f t="shared" si="2"/>
        <v>60</v>
      </c>
      <c r="T17" s="2244">
        <v>20</v>
      </c>
      <c r="Y17" s="927"/>
      <c r="Z17" s="13"/>
      <c r="AA17" s="925"/>
      <c r="AB17" s="22"/>
      <c r="AC17" s="22"/>
      <c r="AD17" s="3"/>
      <c r="AE17" s="3"/>
    </row>
    <row r="18" spans="2:34">
      <c r="B18" s="596">
        <v>10</v>
      </c>
      <c r="C18" s="1103" t="s">
        <v>294</v>
      </c>
      <c r="D18" s="1108">
        <v>50</v>
      </c>
      <c r="E18" s="157">
        <f>'12-18л. РАСКЛАДКА'!Q20</f>
        <v>0</v>
      </c>
      <c r="F18" s="950">
        <f>'12-18л. РАСКЛАДКА'!Q79</f>
        <v>0</v>
      </c>
      <c r="G18" s="950">
        <f>'12-18л. РАСКЛАДКА'!Q141</f>
        <v>200</v>
      </c>
      <c r="H18" s="950">
        <f>'12-18л. РАСКЛАДКА'!Q198</f>
        <v>0</v>
      </c>
      <c r="I18" s="950">
        <f>'12-18л. РАСКЛАДКА'!Q254</f>
        <v>0</v>
      </c>
      <c r="J18" s="226">
        <f>'12-18л. РАСКЛАДКА'!Q309</f>
        <v>0</v>
      </c>
      <c r="K18" s="950">
        <f>'12-18л. РАСКЛАДКА'!Q363</f>
        <v>0</v>
      </c>
      <c r="L18" s="950">
        <f>'12-18л. РАСКЛАДКА'!Q414</f>
        <v>0</v>
      </c>
      <c r="M18" s="950">
        <f>'12-18л. РАСКЛАДКА'!Q467</f>
        <v>200</v>
      </c>
      <c r="N18" s="950">
        <f>'12-18л. РАСКЛАДКА'!Q522</f>
        <v>0</v>
      </c>
      <c r="O18" s="950">
        <f>'12-18л. РАСКЛАДКА'!Q576</f>
        <v>0</v>
      </c>
      <c r="P18" s="2216">
        <f>'12-18л. РАСКЛАДКА'!Q632</f>
        <v>200</v>
      </c>
      <c r="Q18" s="2251">
        <f t="shared" si="0"/>
        <v>600</v>
      </c>
      <c r="R18" s="2564">
        <f t="shared" si="1"/>
        <v>0</v>
      </c>
      <c r="S18" s="2243">
        <f t="shared" si="2"/>
        <v>600</v>
      </c>
      <c r="T18" s="2244">
        <v>200</v>
      </c>
      <c r="Y18" s="927"/>
      <c r="Z18" s="13"/>
      <c r="AA18" s="925"/>
      <c r="AB18" s="22"/>
      <c r="AC18" s="22"/>
      <c r="AD18" s="3"/>
      <c r="AE18" s="3"/>
    </row>
    <row r="19" spans="2:34">
      <c r="B19" s="596">
        <v>11</v>
      </c>
      <c r="C19" s="1103" t="s">
        <v>139</v>
      </c>
      <c r="D19" s="1108">
        <v>19.5</v>
      </c>
      <c r="E19" s="157">
        <f>'12-18л. РАСКЛАДКА'!Q21</f>
        <v>0</v>
      </c>
      <c r="F19" s="950">
        <f>'12-18л. РАСКЛАДКА'!Q80</f>
        <v>94.8</v>
      </c>
      <c r="G19" s="950">
        <f>'12-18л. РАСКЛАДКА'!Q142</f>
        <v>0</v>
      </c>
      <c r="H19" s="950">
        <f>'12-18л. РАСКЛАДКА'!Q199</f>
        <v>0</v>
      </c>
      <c r="I19" s="950">
        <f>'12-18л. РАСКЛАДКА'!Q255</f>
        <v>53.1</v>
      </c>
      <c r="J19" s="226">
        <f>'12-18л. РАСКЛАДКА'!Q310</f>
        <v>0</v>
      </c>
      <c r="K19" s="950">
        <f>'12-18л. РАСКЛАДКА'!Q364</f>
        <v>0</v>
      </c>
      <c r="L19" s="950">
        <f>'12-18л. РАСКЛАДКА'!Q415</f>
        <v>0</v>
      </c>
      <c r="M19" s="950">
        <f>'12-18л. РАСКЛАДКА'!Q468</f>
        <v>0</v>
      </c>
      <c r="N19" s="950">
        <f>'12-18л. РАСКЛАДКА'!Q523</f>
        <v>0</v>
      </c>
      <c r="O19" s="950">
        <f>'12-18л. РАСКЛАДКА'!Q577</f>
        <v>86.1</v>
      </c>
      <c r="P19" s="2216">
        <f>'12-18л. РАСКЛАДКА'!Q633</f>
        <v>0</v>
      </c>
      <c r="Q19" s="2251">
        <f t="shared" si="0"/>
        <v>234</v>
      </c>
      <c r="R19" s="2564">
        <f t="shared" si="1"/>
        <v>0</v>
      </c>
      <c r="S19" s="2243">
        <f t="shared" si="2"/>
        <v>234</v>
      </c>
      <c r="T19" s="2244">
        <v>78</v>
      </c>
      <c r="Y19" s="927"/>
      <c r="Z19" s="13"/>
      <c r="AA19" s="925"/>
      <c r="AB19" s="22"/>
      <c r="AC19" s="22"/>
      <c r="AD19" s="3"/>
      <c r="AE19" s="3"/>
    </row>
    <row r="20" spans="2:34">
      <c r="B20" s="596">
        <v>12</v>
      </c>
      <c r="C20" s="1103" t="s">
        <v>140</v>
      </c>
      <c r="D20" s="1108">
        <v>13.25</v>
      </c>
      <c r="E20" s="157">
        <f>'12-18л. РАСКЛАДКА'!Q22</f>
        <v>0</v>
      </c>
      <c r="F20" s="950">
        <f>'12-18л. РАСКЛАДКА'!Q81</f>
        <v>0</v>
      </c>
      <c r="G20" s="950">
        <f>'12-18л. РАСКЛАДКА'!Q143</f>
        <v>0</v>
      </c>
      <c r="H20" s="950">
        <f>'12-18л. РАСКЛАДКА'!Q200</f>
        <v>0</v>
      </c>
      <c r="I20" s="950">
        <f>'12-18л. РАСКЛАДКА'!Q256</f>
        <v>26.9</v>
      </c>
      <c r="J20" s="226">
        <f>'12-18л. РАСКЛАДКА'!Q311</f>
        <v>0</v>
      </c>
      <c r="K20" s="950">
        <f>'12-18л. РАСКЛАДКА'!Q365</f>
        <v>61.1</v>
      </c>
      <c r="L20" s="950">
        <f>'12-18л. РАСКЛАДКА'!Q416</f>
        <v>0</v>
      </c>
      <c r="M20" s="950">
        <f>'12-18л. РАСКЛАДКА'!Q469</f>
        <v>0</v>
      </c>
      <c r="N20" s="950">
        <f>'12-18л. РАСКЛАДКА'!Q524</f>
        <v>0</v>
      </c>
      <c r="O20" s="950">
        <f>'12-18л. РАСКЛАДКА'!Q578</f>
        <v>0</v>
      </c>
      <c r="P20" s="2216">
        <f>'12-18л. РАСКЛАДКА'!Q634</f>
        <v>71</v>
      </c>
      <c r="Q20" s="2251">
        <f t="shared" si="0"/>
        <v>159</v>
      </c>
      <c r="R20" s="2564">
        <f t="shared" si="1"/>
        <v>0</v>
      </c>
      <c r="S20" s="2243">
        <f t="shared" si="2"/>
        <v>159</v>
      </c>
      <c r="T20" s="2244">
        <v>53</v>
      </c>
      <c r="Y20" s="927"/>
      <c r="Z20" s="13"/>
      <c r="AA20" s="925"/>
      <c r="AB20" s="22"/>
      <c r="AC20" s="22"/>
      <c r="AD20" s="3"/>
      <c r="AE20" s="3"/>
    </row>
    <row r="21" spans="2:34" ht="12.75" customHeight="1">
      <c r="B21" s="596">
        <v>13</v>
      </c>
      <c r="C21" s="1103" t="s">
        <v>53</v>
      </c>
      <c r="D21" s="1108">
        <v>19.25</v>
      </c>
      <c r="E21" s="157">
        <f>'12-18л. РАСКЛАДКА'!Q23</f>
        <v>0</v>
      </c>
      <c r="F21" s="950">
        <f>'12-18л. РАСКЛАДКА'!Q82</f>
        <v>0</v>
      </c>
      <c r="G21" s="950">
        <f>'12-18л. РАСКЛАДКА'!Q144</f>
        <v>122.5</v>
      </c>
      <c r="H21" s="950">
        <f>'12-18л. РАСКЛАДКА'!Q201</f>
        <v>0</v>
      </c>
      <c r="I21" s="950">
        <f>'12-18л. РАСКЛАДКА'!Q257</f>
        <v>0</v>
      </c>
      <c r="J21" s="226">
        <f>'12-18л. РАСКЛАДКА'!Q312</f>
        <v>0</v>
      </c>
      <c r="K21" s="950">
        <f>'12-18л. РАСКЛАДКА'!Q366</f>
        <v>0</v>
      </c>
      <c r="L21" s="950">
        <f>'12-18л. РАСКЛАДКА'!Q417</f>
        <v>0</v>
      </c>
      <c r="M21" s="950">
        <f>'12-18л. РАСКЛАДКА'!Q470</f>
        <v>108.5</v>
      </c>
      <c r="N21" s="950">
        <f>'12-18л. РАСКЛАДКА'!Q525</f>
        <v>0</v>
      </c>
      <c r="O21" s="950">
        <f>'12-18л. РАСКЛАДКА'!Q579</f>
        <v>0</v>
      </c>
      <c r="P21" s="2216">
        <f>'12-18л. РАСКЛАДКА'!Q635</f>
        <v>0</v>
      </c>
      <c r="Q21" s="2251">
        <f t="shared" si="0"/>
        <v>231</v>
      </c>
      <c r="R21" s="2564">
        <f t="shared" si="1"/>
        <v>0</v>
      </c>
      <c r="S21" s="2243">
        <f t="shared" si="2"/>
        <v>231</v>
      </c>
      <c r="T21" s="2244">
        <v>77</v>
      </c>
      <c r="Y21" s="927"/>
      <c r="Z21" s="13"/>
      <c r="AA21" s="925"/>
      <c r="AB21" s="22"/>
      <c r="AC21" s="22"/>
      <c r="AD21" s="3"/>
      <c r="AE21" s="3"/>
    </row>
    <row r="22" spans="2:34" ht="13.5" customHeight="1">
      <c r="B22" s="596">
        <v>14</v>
      </c>
      <c r="C22" s="1103" t="s">
        <v>141</v>
      </c>
      <c r="D22" s="1108">
        <v>10</v>
      </c>
      <c r="E22" s="157">
        <f>'12-18л. РАСКЛАДКА'!Q24</f>
        <v>0</v>
      </c>
      <c r="F22" s="950">
        <f>'12-18л. РАСКЛАДКА'!Q83</f>
        <v>0</v>
      </c>
      <c r="G22" s="950">
        <f>'12-18л. РАСКЛАДКА'!Q145</f>
        <v>0</v>
      </c>
      <c r="H22" s="950">
        <f>'12-18л. РАСКЛАДКА'!Q202</f>
        <v>0</v>
      </c>
      <c r="I22" s="950">
        <f>'12-18л. РАСКЛАДКА'!Q258</f>
        <v>0</v>
      </c>
      <c r="J22" s="226">
        <f>'12-18л. РАСКЛАДКА'!Q313</f>
        <v>0</v>
      </c>
      <c r="K22" s="950">
        <f>'12-18л. РАСКЛАДКА'!Q367</f>
        <v>0</v>
      </c>
      <c r="L22" s="950">
        <f>'12-18л. РАСКЛАДКА'!Q418</f>
        <v>120</v>
      </c>
      <c r="M22" s="950">
        <f>'12-18л. РАСКЛАДКА'!Q471</f>
        <v>0</v>
      </c>
      <c r="N22" s="950">
        <f>'12-18л. РАСКЛАДКА'!Q526</f>
        <v>0</v>
      </c>
      <c r="O22" s="950">
        <f>'12-18л. РАСКЛАДКА'!Q580</f>
        <v>0</v>
      </c>
      <c r="P22" s="2216">
        <f>'12-18л. РАСКЛАДКА'!Q636</f>
        <v>0</v>
      </c>
      <c r="Q22" s="2251">
        <f t="shared" si="0"/>
        <v>120</v>
      </c>
      <c r="R22" s="2564">
        <f t="shared" si="1"/>
        <v>0</v>
      </c>
      <c r="S22" s="2243">
        <f t="shared" si="2"/>
        <v>120</v>
      </c>
      <c r="T22" s="2244">
        <v>40</v>
      </c>
      <c r="Y22" s="927"/>
      <c r="Z22" s="13"/>
      <c r="AA22" s="925"/>
      <c r="AB22" s="22"/>
      <c r="AC22" s="22"/>
      <c r="AD22" s="3"/>
      <c r="AE22" s="3"/>
    </row>
    <row r="23" spans="2:34" ht="12" customHeight="1">
      <c r="B23" s="596">
        <v>15</v>
      </c>
      <c r="C23" s="1103" t="s">
        <v>295</v>
      </c>
      <c r="D23" s="1108">
        <v>87.5</v>
      </c>
      <c r="E23" s="157">
        <f>'12-18л. РАСКЛАДКА'!Q25</f>
        <v>173.8</v>
      </c>
      <c r="F23" s="950">
        <f>'12-18л. РАСКЛАДКА'!Q84</f>
        <v>0</v>
      </c>
      <c r="G23" s="950">
        <f>'12-18л. РАСКЛАДКА'!Q146</f>
        <v>18.239999999999998</v>
      </c>
      <c r="H23" s="950">
        <f>'12-18л. РАСКЛАДКА'!Q203</f>
        <v>5</v>
      </c>
      <c r="I23" s="950">
        <f>'12-18л. РАСКЛАДКА'!Q259</f>
        <v>12.36</v>
      </c>
      <c r="J23" s="226">
        <f>'12-18л. РАСКЛАДКА'!Q314</f>
        <v>158</v>
      </c>
      <c r="K23" s="950">
        <f>'12-18л. РАСКЛАДКА'!Q368</f>
        <v>230.7</v>
      </c>
      <c r="L23" s="950">
        <f>'12-18л. РАСКЛАДКА'!Q419</f>
        <v>57.2</v>
      </c>
      <c r="M23" s="950">
        <f>'12-18л. РАСКЛАДКА'!Q472</f>
        <v>25.7</v>
      </c>
      <c r="N23" s="950">
        <f>'12-18л. РАСКЛАДКА'!Q527</f>
        <v>360</v>
      </c>
      <c r="O23" s="950">
        <f>'12-18л. РАСКЛАДКА'!Q581</f>
        <v>0</v>
      </c>
      <c r="P23" s="2216">
        <f>'12-18л. РАСКЛАДКА'!Q637</f>
        <v>9</v>
      </c>
      <c r="Q23" s="2251">
        <f t="shared" si="0"/>
        <v>1050</v>
      </c>
      <c r="R23" s="2564">
        <f t="shared" si="1"/>
        <v>0</v>
      </c>
      <c r="S23" s="2243">
        <f t="shared" si="2"/>
        <v>1050</v>
      </c>
      <c r="T23" s="2244">
        <v>350</v>
      </c>
      <c r="Y23" s="927"/>
      <c r="Z23" s="13"/>
      <c r="AA23" s="925"/>
      <c r="AB23" s="22"/>
      <c r="AC23" s="22"/>
      <c r="AD23" s="3"/>
      <c r="AE23" s="3"/>
    </row>
    <row r="24" spans="2:34" ht="14.25" customHeight="1">
      <c r="B24" s="596">
        <v>16</v>
      </c>
      <c r="C24" s="1103" t="s">
        <v>296</v>
      </c>
      <c r="D24" s="1108">
        <v>45</v>
      </c>
      <c r="E24" s="181">
        <f>'12-18л. РАСКЛАДКА'!Q26</f>
        <v>0</v>
      </c>
      <c r="F24" s="951">
        <f>'12-18л. РАСКЛАДКА'!Q85</f>
        <v>0</v>
      </c>
      <c r="G24" s="952">
        <f>'12-18л. РАСКЛАДКА'!Q147</f>
        <v>0</v>
      </c>
      <c r="H24" s="950">
        <f>'12-18л. РАСКЛАДКА'!Q204</f>
        <v>0</v>
      </c>
      <c r="I24" s="953">
        <f>'12-18л. РАСКЛАДКА'!Q260</f>
        <v>0</v>
      </c>
      <c r="J24" s="226">
        <f>'12-18л. РАСКЛАДКА'!Q315</f>
        <v>0</v>
      </c>
      <c r="K24" s="950">
        <f>'12-18л. РАСКЛАДКА'!Q369</f>
        <v>0</v>
      </c>
      <c r="L24" s="953">
        <f>'12-18л. РАСКЛАДКА'!Q420</f>
        <v>0</v>
      </c>
      <c r="M24" s="951">
        <f>'12-18л. РАСКЛАДКА'!Q473</f>
        <v>0</v>
      </c>
      <c r="N24" s="951">
        <f>'12-18л. РАСКЛАДКА'!Q528</f>
        <v>0</v>
      </c>
      <c r="O24" s="953">
        <f>'12-18л. РАСКЛАДКА'!Q582</f>
        <v>0</v>
      </c>
      <c r="P24" s="2216">
        <f>'12-18л. РАСКЛАДКА'!Q638</f>
        <v>0</v>
      </c>
      <c r="Q24" s="2251">
        <f t="shared" si="0"/>
        <v>0</v>
      </c>
      <c r="R24" s="2612">
        <f t="shared" si="1"/>
        <v>-100</v>
      </c>
      <c r="S24" s="2243">
        <f t="shared" si="2"/>
        <v>540</v>
      </c>
      <c r="T24" s="2244">
        <v>180</v>
      </c>
      <c r="Y24" s="927"/>
      <c r="Z24" s="13"/>
      <c r="AA24" s="930"/>
      <c r="AB24" s="107"/>
      <c r="AC24" s="22"/>
      <c r="AD24" s="66"/>
      <c r="AE24" s="3"/>
      <c r="AH24" s="209"/>
    </row>
    <row r="25" spans="2:34">
      <c r="B25" s="596">
        <v>17</v>
      </c>
      <c r="C25" s="1103" t="s">
        <v>559</v>
      </c>
      <c r="D25" s="1108">
        <v>15</v>
      </c>
      <c r="E25" s="181">
        <f>'12-18л. РАСКЛАДКА'!Q27</f>
        <v>0</v>
      </c>
      <c r="F25" s="951">
        <f>'12-18л. РАСКЛАДКА'!Q86</f>
        <v>0</v>
      </c>
      <c r="G25" s="952">
        <f>'12-18л. РАСКЛАДКА'!Q148</f>
        <v>0</v>
      </c>
      <c r="H25" s="950">
        <f>'12-18л. РАСКЛАДКА'!Q205</f>
        <v>180</v>
      </c>
      <c r="I25" s="953">
        <f>'12-18л. РАСКЛАДКА'!Q261</f>
        <v>0</v>
      </c>
      <c r="J25" s="226">
        <f>'12-18л. РАСКЛАДКА'!Q316</f>
        <v>0</v>
      </c>
      <c r="K25" s="950">
        <f>'12-18л. РАСКЛАДКА'!Q370</f>
        <v>0</v>
      </c>
      <c r="L25" s="953">
        <f>'12-18л. РАСКЛАДКА'!Q421</f>
        <v>0</v>
      </c>
      <c r="M25" s="951">
        <f>'12-18л. РАСКЛАДКА'!Q474</f>
        <v>0</v>
      </c>
      <c r="N25" s="951">
        <f>'12-18л. РАСКЛАДКА'!Q529</f>
        <v>0</v>
      </c>
      <c r="O25" s="953">
        <f>'12-18л. РАСКЛАДКА'!Q583</f>
        <v>0</v>
      </c>
      <c r="P25" s="2216">
        <f>'12-18л. РАСКЛАДКА'!Q639</f>
        <v>0</v>
      </c>
      <c r="Q25" s="2251">
        <f t="shared" si="0"/>
        <v>180</v>
      </c>
      <c r="R25" s="2564">
        <f t="shared" si="1"/>
        <v>0</v>
      </c>
      <c r="S25" s="2243">
        <f t="shared" si="2"/>
        <v>180</v>
      </c>
      <c r="T25" s="2244">
        <v>60</v>
      </c>
      <c r="Y25" s="927"/>
      <c r="Z25" s="13"/>
      <c r="AA25" s="925"/>
      <c r="AB25" s="107"/>
      <c r="AC25" s="22"/>
      <c r="AD25" s="3"/>
      <c r="AE25" s="3"/>
    </row>
    <row r="26" spans="2:34">
      <c r="B26" s="596">
        <v>18</v>
      </c>
      <c r="C26" s="1103" t="s">
        <v>54</v>
      </c>
      <c r="D26" s="1108">
        <v>3.75</v>
      </c>
      <c r="E26" s="181">
        <f>'12-18л. РАСКЛАДКА'!Q28</f>
        <v>0</v>
      </c>
      <c r="F26" s="951">
        <f>'12-18л. РАСКЛАДКА'!Q87</f>
        <v>0</v>
      </c>
      <c r="G26" s="952">
        <f>'12-18л. РАСКЛАДКА'!Q149</f>
        <v>0</v>
      </c>
      <c r="H26" s="950">
        <f>'12-18л. РАСКЛАДКА'!Q206</f>
        <v>0</v>
      </c>
      <c r="I26" s="953">
        <f>'12-18л. РАСКЛАДКА'!Q262</f>
        <v>0</v>
      </c>
      <c r="J26" s="226">
        <f>'12-18л. РАСКЛАДКА'!Q317</f>
        <v>15</v>
      </c>
      <c r="K26" s="950">
        <f>'12-18л. РАСКЛАДКА'!Q371</f>
        <v>10</v>
      </c>
      <c r="L26" s="953">
        <f>'12-18л. РАСКЛАДКА'!Q422</f>
        <v>0</v>
      </c>
      <c r="M26" s="951">
        <f>'12-18л. РАСКЛАДКА'!Q475</f>
        <v>0</v>
      </c>
      <c r="N26" s="951">
        <f>'12-18л. РАСКЛАДКА'!Q530</f>
        <v>20</v>
      </c>
      <c r="O26" s="953">
        <f>'12-18л. РАСКЛАДКА'!Q584</f>
        <v>0</v>
      </c>
      <c r="P26" s="2216">
        <f>'12-18л. РАСКЛАДКА'!Q640</f>
        <v>0</v>
      </c>
      <c r="Q26" s="2251">
        <f t="shared" si="0"/>
        <v>45</v>
      </c>
      <c r="R26" s="2564">
        <f t="shared" si="1"/>
        <v>0</v>
      </c>
      <c r="S26" s="2243">
        <f t="shared" si="2"/>
        <v>45</v>
      </c>
      <c r="T26" s="2244">
        <v>15</v>
      </c>
      <c r="Y26" s="927"/>
      <c r="Z26" s="13"/>
      <c r="AA26" s="925"/>
      <c r="AB26" s="107"/>
      <c r="AC26" s="22"/>
      <c r="AD26" s="3"/>
      <c r="AE26" s="3"/>
    </row>
    <row r="27" spans="2:34">
      <c r="B27" s="596">
        <v>19</v>
      </c>
      <c r="C27" s="1103" t="s">
        <v>298</v>
      </c>
      <c r="D27" s="1108">
        <v>2.5</v>
      </c>
      <c r="E27" s="181">
        <f>'12-18л. РАСКЛАДКА'!Q29</f>
        <v>0</v>
      </c>
      <c r="F27" s="951">
        <f>'12-18л. РАСКЛАДКА'!Q88</f>
        <v>0</v>
      </c>
      <c r="G27" s="952">
        <f>'12-18л. РАСКЛАДКА'!Q150</f>
        <v>1.35</v>
      </c>
      <c r="H27" s="950">
        <f>'12-18л. РАСКЛАДКА'!Q207</f>
        <v>7.8</v>
      </c>
      <c r="I27" s="953">
        <f>'12-18л. РАСКЛАДКА'!Q263</f>
        <v>8.75</v>
      </c>
      <c r="J27" s="226">
        <f>'12-18л. РАСКЛАДКА'!Q318</f>
        <v>0</v>
      </c>
      <c r="K27" s="950">
        <f>'12-18л. РАСКЛАДКА'!Q372</f>
        <v>0</v>
      </c>
      <c r="L27" s="953">
        <f>'12-18л. РАСКЛАДКА'!Q423</f>
        <v>2.2999999999999998</v>
      </c>
      <c r="M27" s="951">
        <f>'12-18л. РАСКЛАДКА'!Q476</f>
        <v>2.2999999999999998</v>
      </c>
      <c r="N27" s="951">
        <f>'12-18л. РАСКЛАДКА'!Q531</f>
        <v>0</v>
      </c>
      <c r="O27" s="953">
        <f>'12-18л. РАСКЛАДКА'!Q585</f>
        <v>0</v>
      </c>
      <c r="P27" s="2216">
        <f>'12-18л. РАСКЛАДКА'!Q641</f>
        <v>7.5</v>
      </c>
      <c r="Q27" s="2251">
        <f t="shared" si="0"/>
        <v>30</v>
      </c>
      <c r="R27" s="2564">
        <f t="shared" si="1"/>
        <v>0</v>
      </c>
      <c r="S27" s="2243">
        <f t="shared" si="2"/>
        <v>30</v>
      </c>
      <c r="T27" s="2244">
        <v>10</v>
      </c>
      <c r="Y27" s="927"/>
      <c r="Z27" s="13"/>
      <c r="AA27" s="925"/>
      <c r="AB27" s="107"/>
      <c r="AC27" s="22"/>
      <c r="AD27" s="3"/>
      <c r="AE27" s="3"/>
    </row>
    <row r="28" spans="2:34" ht="13.5" customHeight="1">
      <c r="B28" s="596">
        <v>20</v>
      </c>
      <c r="C28" s="1103" t="s">
        <v>55</v>
      </c>
      <c r="D28" s="1108">
        <v>8.75</v>
      </c>
      <c r="E28" s="181">
        <f>'12-18л. РАСКЛАДКА'!Q30</f>
        <v>10</v>
      </c>
      <c r="F28" s="951">
        <f>'12-18л. РАСКЛАДКА'!Q89</f>
        <v>0</v>
      </c>
      <c r="G28" s="952">
        <f>'12-18л. РАСКЛАДКА'!Q151</f>
        <v>7.6899999999999995</v>
      </c>
      <c r="H28" s="950">
        <f>'12-18л. РАСКЛАДКА'!Q208</f>
        <v>17.8</v>
      </c>
      <c r="I28" s="953">
        <f>'12-18л. РАСКЛАДКА'!Q264</f>
        <v>10</v>
      </c>
      <c r="J28" s="226">
        <f>'12-18л. РАСКЛАДКА'!Q319</f>
        <v>11</v>
      </c>
      <c r="K28" s="950">
        <f>'12-18л. РАСКЛАДКА'!Q373</f>
        <v>6.73</v>
      </c>
      <c r="L28" s="953">
        <f>'12-18л. РАСКЛАДКА'!Q424</f>
        <v>2.4000000000000004</v>
      </c>
      <c r="M28" s="951">
        <f>'12-18л. РАСКЛАДКА'!Q477</f>
        <v>3.5</v>
      </c>
      <c r="N28" s="951">
        <f>'12-18л. РАСКЛАДКА'!Q532</f>
        <v>22</v>
      </c>
      <c r="O28" s="953">
        <f>'12-18л. РАСКЛАДКА'!Q586</f>
        <v>6.6</v>
      </c>
      <c r="P28" s="2216">
        <f>'12-18л. РАСКЛАДКА'!Q642</f>
        <v>7.2799999999999994</v>
      </c>
      <c r="Q28" s="2251">
        <f t="shared" si="0"/>
        <v>105</v>
      </c>
      <c r="R28" s="2564">
        <f t="shared" si="1"/>
        <v>0</v>
      </c>
      <c r="S28" s="2243">
        <f t="shared" si="2"/>
        <v>105</v>
      </c>
      <c r="T28" s="2244">
        <v>35</v>
      </c>
      <c r="Y28" s="927"/>
      <c r="Z28" s="13"/>
      <c r="AA28" s="925"/>
      <c r="AB28" s="107"/>
      <c r="AC28" s="22"/>
      <c r="AD28" s="3"/>
      <c r="AE28" s="3"/>
    </row>
    <row r="29" spans="2:34" ht="12" customHeight="1">
      <c r="B29" s="596">
        <v>21</v>
      </c>
      <c r="C29" s="1103" t="s">
        <v>56</v>
      </c>
      <c r="D29" s="1108">
        <v>4.5</v>
      </c>
      <c r="E29" s="181">
        <f>'12-18л. РАСКЛАДКА'!Q31</f>
        <v>0</v>
      </c>
      <c r="F29" s="951">
        <f>'12-18л. РАСКЛАДКА'!Q90</f>
        <v>8</v>
      </c>
      <c r="G29" s="952">
        <f>'12-18л. РАСКЛАДКА'!Q152</f>
        <v>5.46</v>
      </c>
      <c r="H29" s="950">
        <f>'12-18л. РАСКЛАДКА'!Q209</f>
        <v>0</v>
      </c>
      <c r="I29" s="953">
        <f>'12-18л. РАСКЛАДКА'!Q265</f>
        <v>7.2</v>
      </c>
      <c r="J29" s="226">
        <f>'12-18л. РАСКЛАДКА'!Q320</f>
        <v>0</v>
      </c>
      <c r="K29" s="950">
        <f>'12-18л. РАСКЛАДКА'!Q374</f>
        <v>0</v>
      </c>
      <c r="L29" s="953">
        <f>'12-18л. РАСКЛАДКА'!Q425</f>
        <v>15.54</v>
      </c>
      <c r="M29" s="951">
        <f>'12-18л. РАСКЛАДКА'!Q478</f>
        <v>12.8</v>
      </c>
      <c r="N29" s="951">
        <f>'12-18л. РАСКЛАДКА'!Q533</f>
        <v>0</v>
      </c>
      <c r="O29" s="953">
        <f>'12-18л. РАСКЛАДКА'!Q587</f>
        <v>2.4</v>
      </c>
      <c r="P29" s="2216">
        <f>'12-18л. РАСКЛАДКА'!Q643</f>
        <v>2.6</v>
      </c>
      <c r="Q29" s="2251">
        <f t="shared" si="0"/>
        <v>54</v>
      </c>
      <c r="R29" s="2564">
        <f t="shared" si="1"/>
        <v>0</v>
      </c>
      <c r="S29" s="2243">
        <f t="shared" si="2"/>
        <v>54</v>
      </c>
      <c r="T29" s="2244">
        <v>18</v>
      </c>
      <c r="Y29" s="927"/>
      <c r="Z29" s="13"/>
      <c r="AA29" s="925"/>
      <c r="AB29" s="107"/>
      <c r="AC29" s="22"/>
      <c r="AD29" s="3"/>
      <c r="AE29" s="3"/>
    </row>
    <row r="30" spans="2:34" ht="12" customHeight="1">
      <c r="B30" s="596">
        <v>22</v>
      </c>
      <c r="C30" s="1103" t="s">
        <v>299</v>
      </c>
      <c r="D30" s="1108">
        <v>10</v>
      </c>
      <c r="E30" s="181">
        <f>'12-18л. РАСКЛАДКА'!Q32</f>
        <v>0</v>
      </c>
      <c r="F30" s="951">
        <f>'12-18л. РАСКЛАДКА'!Q91</f>
        <v>0</v>
      </c>
      <c r="G30" s="952">
        <f>'12-18л. РАСКЛАДКА'!Q153</f>
        <v>0.92</v>
      </c>
      <c r="H30" s="950">
        <f>'12-18л. РАСКЛАДКА'!Q210</f>
        <v>7.8</v>
      </c>
      <c r="I30" s="953">
        <f>'12-18л. РАСКЛАДКА'!Q266</f>
        <v>0.2</v>
      </c>
      <c r="J30" s="226">
        <f>'12-18л. РАСКЛАДКА'!Q321</f>
        <v>0</v>
      </c>
      <c r="K30" s="950">
        <f>'12-18л. РАСКЛАДКА'!Q375</f>
        <v>97.4</v>
      </c>
      <c r="L30" s="953">
        <f>'12-18л. РАСКЛАДКА'!Q426</f>
        <v>9.68</v>
      </c>
      <c r="M30" s="951">
        <f>'12-18л. РАСКЛАДКА'!Q479</f>
        <v>4</v>
      </c>
      <c r="N30" s="951">
        <f>'12-18л. РАСКЛАДКА'!Q534</f>
        <v>0</v>
      </c>
      <c r="O30" s="953">
        <f>'12-18л. РАСКЛАДКА'!Q588</f>
        <v>0</v>
      </c>
      <c r="P30" s="2216">
        <f>'12-18л. РАСКЛАДКА'!Q644</f>
        <v>0</v>
      </c>
      <c r="Q30" s="2251">
        <f t="shared" si="0"/>
        <v>120</v>
      </c>
      <c r="R30" s="2564">
        <f t="shared" si="1"/>
        <v>0</v>
      </c>
      <c r="S30" s="2243">
        <f t="shared" si="2"/>
        <v>120</v>
      </c>
      <c r="T30" s="2244">
        <v>40</v>
      </c>
      <c r="Y30" s="927"/>
      <c r="Z30" s="13"/>
      <c r="AA30" s="925"/>
      <c r="AB30" s="107"/>
      <c r="AC30" s="22"/>
      <c r="AD30" s="3"/>
      <c r="AE30" s="3"/>
    </row>
    <row r="31" spans="2:34" ht="13.5" customHeight="1">
      <c r="B31" s="596">
        <v>23</v>
      </c>
      <c r="C31" s="1103" t="s">
        <v>57</v>
      </c>
      <c r="D31" s="1108">
        <v>8.75</v>
      </c>
      <c r="E31" s="181">
        <f>'12-18л. РАСКЛАДКА'!Q33</f>
        <v>12.7</v>
      </c>
      <c r="F31" s="951">
        <f>'12-18л. РАСКЛАДКА'!Q92</f>
        <v>10</v>
      </c>
      <c r="G31" s="952">
        <f>'12-18л. РАСКЛАДКА'!Q154</f>
        <v>0</v>
      </c>
      <c r="H31" s="950">
        <f>'12-18л. РАСКЛАДКА'!Q211</f>
        <v>22</v>
      </c>
      <c r="I31" s="953">
        <f>'12-18л. РАСКЛАДКА'!Q267</f>
        <v>13</v>
      </c>
      <c r="J31" s="226">
        <f>'12-18л. РАСКЛАДКА'!Q322</f>
        <v>12.5</v>
      </c>
      <c r="K31" s="950">
        <f>'12-18л. РАСКЛАДКА'!Q376</f>
        <v>5</v>
      </c>
      <c r="L31" s="953">
        <f>'12-18л. РАСКЛАДКА'!Q427</f>
        <v>10</v>
      </c>
      <c r="M31" s="951">
        <f>'12-18л. РАСКЛАДКА'!Q480</f>
        <v>2.1</v>
      </c>
      <c r="N31" s="951">
        <f>'12-18л. РАСКЛАДКА'!Q535</f>
        <v>10.7</v>
      </c>
      <c r="O31" s="953">
        <f>'12-18л. РАСКЛАДКА'!Q589</f>
        <v>7</v>
      </c>
      <c r="P31" s="2216">
        <f>'12-18л. РАСКЛАДКА'!Q645</f>
        <v>0</v>
      </c>
      <c r="Q31" s="2251">
        <f t="shared" si="0"/>
        <v>105</v>
      </c>
      <c r="R31" s="2564">
        <f t="shared" si="1"/>
        <v>0</v>
      </c>
      <c r="S31" s="2243">
        <f t="shared" si="2"/>
        <v>105</v>
      </c>
      <c r="T31" s="2244">
        <v>35</v>
      </c>
      <c r="Y31" s="927"/>
      <c r="Z31" s="13"/>
      <c r="AA31" s="925"/>
      <c r="AB31" s="107"/>
      <c r="AC31" s="22"/>
      <c r="AD31" s="3"/>
      <c r="AE31" s="3"/>
    </row>
    <row r="32" spans="2:34" ht="12.75" customHeight="1">
      <c r="B32" s="596">
        <v>24</v>
      </c>
      <c r="C32" s="1103" t="s">
        <v>58</v>
      </c>
      <c r="D32" s="1108">
        <v>3.75</v>
      </c>
      <c r="E32" s="181">
        <f>'12-18л. РАСКЛАДКА'!Q34</f>
        <v>45</v>
      </c>
      <c r="F32" s="951">
        <f>'12-18л. РАСКЛАДКА'!Q93</f>
        <v>0</v>
      </c>
      <c r="G32" s="952">
        <f>'12-18л. РАСКЛАДКА'!Q155</f>
        <v>0</v>
      </c>
      <c r="H32" s="950">
        <f>'12-18л. РАСКЛАДКА'!Q212</f>
        <v>0</v>
      </c>
      <c r="I32" s="953">
        <f>'12-18л. РАСКЛАДКА'!Q268</f>
        <v>0</v>
      </c>
      <c r="J32" s="226">
        <f>'12-18л. РАСКЛАДКА'!Q323</f>
        <v>0</v>
      </c>
      <c r="K32" s="950">
        <f>'12-18л. РАСКЛАДКА'!Q377</f>
        <v>0</v>
      </c>
      <c r="L32" s="953">
        <f>'12-18л. РАСКЛАДКА'!Q428</f>
        <v>0</v>
      </c>
      <c r="M32" s="951">
        <f>'12-18л. РАСКЛАДКА'!Q481</f>
        <v>0</v>
      </c>
      <c r="N32" s="951">
        <f>'12-18л. РАСКЛАДКА'!Q536</f>
        <v>0</v>
      </c>
      <c r="O32" s="953">
        <f>'12-18л. РАСКЛАДКА'!Q590</f>
        <v>0</v>
      </c>
      <c r="P32" s="2216">
        <f>'12-18л. РАСКЛАДКА'!Q646</f>
        <v>0</v>
      </c>
      <c r="Q32" s="2251">
        <f t="shared" si="0"/>
        <v>45</v>
      </c>
      <c r="R32" s="2564">
        <f t="shared" si="1"/>
        <v>0</v>
      </c>
      <c r="S32" s="2243">
        <f t="shared" si="2"/>
        <v>45</v>
      </c>
      <c r="T32" s="2244">
        <v>15</v>
      </c>
      <c r="Y32" s="927"/>
      <c r="Z32" s="13"/>
      <c r="AA32" s="925"/>
      <c r="AB32" s="107"/>
      <c r="AC32" s="22"/>
      <c r="AD32" s="3"/>
      <c r="AE32" s="3"/>
    </row>
    <row r="33" spans="2:31" ht="11.25" customHeight="1">
      <c r="B33" s="596">
        <v>25</v>
      </c>
      <c r="C33" s="1103" t="s">
        <v>59</v>
      </c>
      <c r="D33" s="1108">
        <v>0.5</v>
      </c>
      <c r="E33" s="181">
        <f>'12-18л. РАСКЛАДКА'!Q35</f>
        <v>1</v>
      </c>
      <c r="F33" s="951">
        <f>'12-18л. РАСКЛАДКА'!Q94</f>
        <v>0</v>
      </c>
      <c r="G33" s="952">
        <f>'12-18л. РАСКЛАДКА'!Q156</f>
        <v>0</v>
      </c>
      <c r="H33" s="950">
        <f>'12-18л. РАСКЛАДКА'!Q213</f>
        <v>1</v>
      </c>
      <c r="I33" s="953">
        <f>'12-18л. РАСКЛАДКА'!Q269</f>
        <v>0</v>
      </c>
      <c r="J33" s="226">
        <f>'12-18л. РАСКЛАДКА'!Q324</f>
        <v>1</v>
      </c>
      <c r="K33" s="950">
        <f>'12-18л. РАСКЛАДКА'!Q378</f>
        <v>0</v>
      </c>
      <c r="L33" s="953">
        <f>'12-18л. РАСКЛАДКА'!Q429</f>
        <v>0</v>
      </c>
      <c r="M33" s="951">
        <f>'12-18л. РАСКЛАДКА'!Q482</f>
        <v>0</v>
      </c>
      <c r="N33" s="951">
        <f>'12-18л. РАСКЛАДКА'!Q537</f>
        <v>0</v>
      </c>
      <c r="O33" s="953">
        <f>'12-18л. РАСКЛАДКА'!Q591</f>
        <v>1</v>
      </c>
      <c r="P33" s="2216">
        <f>'12-18л. РАСКЛАДКА'!Q647</f>
        <v>0</v>
      </c>
      <c r="Q33" s="2248">
        <f t="shared" si="0"/>
        <v>4</v>
      </c>
      <c r="R33" s="2564">
        <f t="shared" si="1"/>
        <v>-33.333333333333329</v>
      </c>
      <c r="S33" s="2243">
        <f t="shared" si="2"/>
        <v>6</v>
      </c>
      <c r="T33" s="2244">
        <v>2</v>
      </c>
      <c r="Y33" s="927"/>
      <c r="Z33" s="13"/>
      <c r="AA33" s="2252"/>
      <c r="AB33" s="2234"/>
      <c r="AC33" s="22"/>
      <c r="AD33" s="66"/>
      <c r="AE33" s="3"/>
    </row>
    <row r="34" spans="2:31" ht="12.75" customHeight="1">
      <c r="B34" s="596">
        <v>26</v>
      </c>
      <c r="C34" s="1103" t="s">
        <v>300</v>
      </c>
      <c r="D34" s="1108">
        <v>0.3</v>
      </c>
      <c r="E34" s="181">
        <f>'12-18л. РАСКЛАДКА'!Q36</f>
        <v>0</v>
      </c>
      <c r="F34" s="951">
        <f>'12-18л. РАСКЛАДКА'!Q95</f>
        <v>0</v>
      </c>
      <c r="G34" s="952">
        <f>'12-18л. РАСКЛАДКА'!Q157</f>
        <v>0</v>
      </c>
      <c r="H34" s="950">
        <f>'12-18л. РАСКЛАДКА'!Q214</f>
        <v>0</v>
      </c>
      <c r="I34" s="953">
        <f>'12-18л. РАСКЛАДКА'!Q270</f>
        <v>0</v>
      </c>
      <c r="J34" s="226">
        <f>'12-18л. РАСКЛАДКА'!Q325</f>
        <v>0</v>
      </c>
      <c r="K34" s="950">
        <f>'12-18л. РАСКЛАДКА'!Q379</f>
        <v>0</v>
      </c>
      <c r="L34" s="953">
        <f>'12-18л. РАСКЛАДКА'!Q430</f>
        <v>0</v>
      </c>
      <c r="M34" s="951">
        <f>'12-18л. РАСКЛАДКА'!Q483</f>
        <v>0</v>
      </c>
      <c r="N34" s="1116">
        <f>'12-18л. РАСКЛАДКА'!Q538</f>
        <v>3.24</v>
      </c>
      <c r="O34" s="953">
        <f>'12-18л. РАСКЛАДКА'!Q592</f>
        <v>0</v>
      </c>
      <c r="P34" s="2216">
        <f>'12-18л. РАСКЛАДКА'!Q648</f>
        <v>0</v>
      </c>
      <c r="Q34" s="2248">
        <f t="shared" si="0"/>
        <v>3.24</v>
      </c>
      <c r="R34" s="2564">
        <f t="shared" si="1"/>
        <v>-9.9999999999999858</v>
      </c>
      <c r="S34" s="2243">
        <f t="shared" si="2"/>
        <v>3.5999999999999996</v>
      </c>
      <c r="T34" s="2244">
        <v>1.2</v>
      </c>
      <c r="Y34" s="927"/>
      <c r="Z34" s="13"/>
      <c r="AA34" s="925"/>
      <c r="AB34" s="107"/>
      <c r="AC34" s="22"/>
      <c r="AD34" s="3"/>
      <c r="AE34" s="3"/>
    </row>
    <row r="35" spans="2:31" ht="12" customHeight="1">
      <c r="B35" s="596">
        <v>27</v>
      </c>
      <c r="C35" s="1103" t="s">
        <v>142</v>
      </c>
      <c r="D35" s="1108">
        <v>0.5</v>
      </c>
      <c r="E35" s="181">
        <f>'12-18л. РАСКЛАДКА'!Q37</f>
        <v>0</v>
      </c>
      <c r="F35" s="951">
        <f>'12-18л. РАСКЛАДКА'!Q96</f>
        <v>0</v>
      </c>
      <c r="G35" s="952">
        <f>'12-18л. РАСКЛАДКА'!Q158</f>
        <v>0</v>
      </c>
      <c r="H35" s="950">
        <f>'12-18л. РАСКЛАДКА'!Q215</f>
        <v>0</v>
      </c>
      <c r="I35" s="953">
        <f>'12-18л. РАСКЛАДКА'!Q271</f>
        <v>0</v>
      </c>
      <c r="J35" s="226">
        <f>'12-18л. РАСКЛАДКА'!Q326</f>
        <v>0</v>
      </c>
      <c r="K35" s="950">
        <f>'12-18л. РАСКЛАДКА'!Q380</f>
        <v>6</v>
      </c>
      <c r="L35" s="953">
        <f>'12-18л. РАСКЛАДКА'!Q431</f>
        <v>0</v>
      </c>
      <c r="M35" s="951">
        <f>'12-18л. РАСКЛАДКА'!Q484</f>
        <v>0</v>
      </c>
      <c r="N35" s="951">
        <f>'12-18л. РАСКЛАДКА'!Q539</f>
        <v>0</v>
      </c>
      <c r="O35" s="953">
        <f>'12-18л. РАСКЛАДКА'!Q593</f>
        <v>0</v>
      </c>
      <c r="P35" s="2216">
        <f>'12-18л. РАСКЛАДКА'!Q649</f>
        <v>0</v>
      </c>
      <c r="Q35" s="2251">
        <f t="shared" si="0"/>
        <v>6</v>
      </c>
      <c r="R35" s="2564">
        <f t="shared" si="1"/>
        <v>0</v>
      </c>
      <c r="S35" s="2243">
        <f t="shared" si="2"/>
        <v>6</v>
      </c>
      <c r="T35" s="2244">
        <v>2</v>
      </c>
      <c r="Y35" s="927"/>
      <c r="Z35" s="13"/>
      <c r="AA35" s="925"/>
      <c r="AB35" s="107"/>
      <c r="AC35" s="22"/>
      <c r="AD35" s="3"/>
      <c r="AE35" s="3"/>
    </row>
    <row r="36" spans="2:31" ht="12" customHeight="1">
      <c r="B36" s="596">
        <v>28</v>
      </c>
      <c r="C36" s="1103" t="s">
        <v>60</v>
      </c>
      <c r="D36" s="1108">
        <v>7.4999999999999997E-2</v>
      </c>
      <c r="E36" s="181">
        <f>'12-18л. РАСКЛАДКА'!Q38</f>
        <v>0</v>
      </c>
      <c r="F36" s="951">
        <f>'12-18л. РАСКЛАДКА'!Q97</f>
        <v>0</v>
      </c>
      <c r="G36" s="952">
        <f>'12-18л. РАСКЛАДКА'!Q159</f>
        <v>0</v>
      </c>
      <c r="H36" s="950">
        <f>'12-18л. РАСКЛАДКА'!Q216</f>
        <v>0</v>
      </c>
      <c r="I36" s="953">
        <f>'12-18л. РАСКЛАДКА'!Q272</f>
        <v>0</v>
      </c>
      <c r="J36" s="226">
        <f>'12-18л. РАСКЛАДКА'!Q327</f>
        <v>0</v>
      </c>
      <c r="K36" s="950">
        <f>'12-18л. РАСКЛАДКА'!Q381</f>
        <v>0</v>
      </c>
      <c r="L36" s="953">
        <f>'12-18л. РАСКЛАДКА'!Q432</f>
        <v>0</v>
      </c>
      <c r="M36" s="951">
        <f>'12-18л. РАСКЛАДКА'!Q485</f>
        <v>0</v>
      </c>
      <c r="N36" s="951">
        <f>'12-18л. РАСКЛАДКА'!Q540</f>
        <v>0</v>
      </c>
      <c r="O36" s="953">
        <f>'12-18л. РАСКЛАДКА'!Q594</f>
        <v>0</v>
      </c>
      <c r="P36" s="2216">
        <f>'12-18л. РАСКЛАДКА'!Q650</f>
        <v>0</v>
      </c>
      <c r="Q36" s="2251">
        <f t="shared" si="0"/>
        <v>0</v>
      </c>
      <c r="R36" s="2612">
        <f t="shared" si="1"/>
        <v>-100</v>
      </c>
      <c r="S36" s="2243">
        <f t="shared" si="2"/>
        <v>0.89999999999999991</v>
      </c>
      <c r="T36" s="2244">
        <v>0.3</v>
      </c>
      <c r="Y36" s="927"/>
      <c r="Z36" s="13"/>
      <c r="AA36" s="925"/>
      <c r="AB36" s="2253"/>
      <c r="AC36" s="22"/>
      <c r="AD36" s="66"/>
      <c r="AE36" s="3"/>
    </row>
    <row r="37" spans="2:31" ht="12.75" customHeight="1">
      <c r="B37" s="596">
        <v>29</v>
      </c>
      <c r="C37" s="641" t="s">
        <v>301</v>
      </c>
      <c r="D37" s="1108">
        <v>1.25</v>
      </c>
      <c r="E37" s="181">
        <f>'12-18л. РАСКЛАДКА'!Q39</f>
        <v>0.3</v>
      </c>
      <c r="F37" s="951">
        <f>'12-18л. РАСКЛАДКА'!Q98</f>
        <v>1.4</v>
      </c>
      <c r="G37" s="952">
        <f>'12-18л. РАСКЛАДКА'!Q160</f>
        <v>1.9000000000000001</v>
      </c>
      <c r="H37" s="950">
        <f>'12-18л. РАСКЛАДКА'!Q217</f>
        <v>0</v>
      </c>
      <c r="I37" s="953">
        <f>'12-18л. РАСКЛАДКА'!Q273</f>
        <v>2.5599999999999996</v>
      </c>
      <c r="J37" s="226">
        <f>'12-18л. РАСКЛАДКА'!Q328</f>
        <v>0.3</v>
      </c>
      <c r="K37" s="950">
        <f>'12-18л. РАСКЛАДКА'!Q382</f>
        <v>0.66</v>
      </c>
      <c r="L37" s="953">
        <f>'12-18л. РАСКЛАДКА'!Q433</f>
        <v>2</v>
      </c>
      <c r="M37" s="951">
        <f>'12-18л. РАСКЛАДКА'!Q486</f>
        <v>1.9000000000000001</v>
      </c>
      <c r="N37" s="951">
        <f>'12-18л. РАСКЛАДКА'!Q541</f>
        <v>0.3</v>
      </c>
      <c r="O37" s="953">
        <f>'12-18л. РАСКЛАДКА'!Q595</f>
        <v>1.5</v>
      </c>
      <c r="P37" s="2216">
        <f>'12-18л. РАСКЛАДКА'!Q651</f>
        <v>2.1799999999999997</v>
      </c>
      <c r="Q37" s="2251">
        <f t="shared" si="0"/>
        <v>15.000000000000002</v>
      </c>
      <c r="R37" s="2564">
        <f t="shared" si="1"/>
        <v>0</v>
      </c>
      <c r="S37" s="2243">
        <f t="shared" si="2"/>
        <v>15</v>
      </c>
      <c r="T37" s="2244">
        <v>5</v>
      </c>
      <c r="Y37" s="927"/>
      <c r="Z37" s="13"/>
      <c r="AA37" s="925"/>
      <c r="AB37" s="107"/>
      <c r="AC37" s="22"/>
      <c r="AD37" s="3"/>
      <c r="AE37" s="3"/>
    </row>
    <row r="38" spans="2:31" ht="13.5" customHeight="1">
      <c r="B38" s="596">
        <v>30</v>
      </c>
      <c r="C38" s="1103" t="s">
        <v>143</v>
      </c>
      <c r="D38" s="1108">
        <v>1</v>
      </c>
      <c r="E38" s="181">
        <f>'12-18л. РАСКЛАДКА'!Q40</f>
        <v>0</v>
      </c>
      <c r="F38" s="951">
        <f>'12-18л. РАСКЛАДКА'!Q99</f>
        <v>0</v>
      </c>
      <c r="G38" s="952">
        <f>'12-18л. РАСКЛАДКА'!Q161</f>
        <v>0</v>
      </c>
      <c r="H38" s="950">
        <f>'12-18л. РАСКЛАДКА'!Q218</f>
        <v>0</v>
      </c>
      <c r="I38" s="953">
        <f>'12-18л. РАСКЛАДКА'!Q274</f>
        <v>10</v>
      </c>
      <c r="J38" s="226">
        <f>'12-18л. РАСКЛАДКА'!Q329</f>
        <v>0</v>
      </c>
      <c r="K38" s="950">
        <f>'12-18л. РАСКЛАДКА'!Q383</f>
        <v>0</v>
      </c>
      <c r="L38" s="953">
        <f>'12-18л. РАСКЛАДКА'!Q434</f>
        <v>0</v>
      </c>
      <c r="M38" s="951">
        <f>'12-18л. РАСКЛАДКА'!Q487</f>
        <v>0</v>
      </c>
      <c r="N38" s="951">
        <f>'12-18л. РАСКЛАДКА'!Q542</f>
        <v>0</v>
      </c>
      <c r="O38" s="953">
        <f>'12-18л. РАСКЛАДКА'!Q596</f>
        <v>0</v>
      </c>
      <c r="P38" s="2216">
        <f>'12-18л. РАСКЛАДКА'!Q652</f>
        <v>0</v>
      </c>
      <c r="Q38" s="2245">
        <f t="shared" si="0"/>
        <v>10</v>
      </c>
      <c r="R38" s="2564">
        <f t="shared" si="1"/>
        <v>-16.666666666666671</v>
      </c>
      <c r="S38" s="2243">
        <f t="shared" si="2"/>
        <v>12</v>
      </c>
      <c r="T38" s="2244">
        <v>4</v>
      </c>
      <c r="W38" s="207"/>
      <c r="Y38" s="927"/>
      <c r="Z38" s="13"/>
      <c r="AA38" s="2252"/>
      <c r="AB38" s="2234"/>
      <c r="AC38" s="22"/>
      <c r="AD38" s="66"/>
      <c r="AE38" s="3"/>
    </row>
    <row r="39" spans="2:31" ht="13.5" customHeight="1">
      <c r="B39" s="596">
        <v>31</v>
      </c>
      <c r="C39" s="1103" t="s">
        <v>144</v>
      </c>
      <c r="D39" s="1108">
        <v>0.5</v>
      </c>
      <c r="E39" s="181">
        <f>'12-18л. РАСКЛАДКА'!Q41</f>
        <v>0</v>
      </c>
      <c r="F39" s="966">
        <f>'12-18л. РАСКЛАДКА'!Q100</f>
        <v>1.7</v>
      </c>
      <c r="G39" s="967">
        <f>'12-18л. РАСКЛАДКА'!Q162</f>
        <v>0.02</v>
      </c>
      <c r="H39" s="950">
        <f>'12-18л. РАСКЛАДКА'!Q219</f>
        <v>0</v>
      </c>
      <c r="I39" s="953">
        <f>'12-18л. РАСКЛАДКА'!Q275</f>
        <v>1.5747200000000001</v>
      </c>
      <c r="J39" s="226">
        <f>'12-18л. РАСКЛАДКА'!Q330</f>
        <v>0</v>
      </c>
      <c r="K39" s="967">
        <f>'12-18л. РАСКЛАДКА'!Q384</f>
        <v>0</v>
      </c>
      <c r="L39" s="953">
        <f>'12-18л. РАСКЛАДКА'!Q435</f>
        <v>0.20020000000000002</v>
      </c>
      <c r="M39" s="968">
        <f>'12-18л. РАСКЛАДКА'!Q488</f>
        <v>6.88E-2</v>
      </c>
      <c r="N39" s="968">
        <f>'12-18л. РАСКЛАДКА'!Q543</f>
        <v>0</v>
      </c>
      <c r="O39" s="953">
        <f>'12-18л. РАСКЛАДКА'!Q597</f>
        <v>1.43598</v>
      </c>
      <c r="P39" s="2216">
        <f>'12-18л. РАСКЛАДКА'!Q653</f>
        <v>1.0003</v>
      </c>
      <c r="Q39" s="2248">
        <f t="shared" si="0"/>
        <v>6</v>
      </c>
      <c r="R39" s="2564">
        <f t="shared" si="1"/>
        <v>0</v>
      </c>
      <c r="S39" s="2243">
        <f t="shared" si="2"/>
        <v>6</v>
      </c>
      <c r="T39" s="2244">
        <v>2</v>
      </c>
      <c r="Y39" s="927"/>
      <c r="Z39" s="13"/>
      <c r="AA39" s="2252"/>
      <c r="AB39" s="107"/>
      <c r="AC39" s="22"/>
      <c r="AD39" s="3"/>
      <c r="AE39" s="3"/>
    </row>
    <row r="40" spans="2:31" ht="12.75" customHeight="1">
      <c r="B40" s="596">
        <v>32</v>
      </c>
      <c r="C40" s="1103" t="s">
        <v>62</v>
      </c>
      <c r="D40" s="1108">
        <v>22.5</v>
      </c>
      <c r="E40" s="954">
        <f>'12-18л. МЕНЮ  '!E74</f>
        <v>22.197000000000003</v>
      </c>
      <c r="F40" s="955">
        <f>'12-18л. МЕНЮ  '!E128</f>
        <v>22.497</v>
      </c>
      <c r="G40" s="955">
        <f>'12-18л. МЕНЮ  '!E184</f>
        <v>22.916999999999998</v>
      </c>
      <c r="H40" s="955">
        <f>'12-18л. МЕНЮ  '!E238</f>
        <v>22.570999999999994</v>
      </c>
      <c r="I40" s="955">
        <f>'12-18л. МЕНЮ  '!E291</f>
        <v>22.437000000000001</v>
      </c>
      <c r="J40" s="848">
        <f>'12-18л. МЕНЮ  '!E347</f>
        <v>22.380999999999997</v>
      </c>
      <c r="K40" s="955">
        <f>'12-18л. МЕНЮ  '!E462</f>
        <v>25.515000000000001</v>
      </c>
      <c r="L40" s="955">
        <f>'12-18л. МЕНЮ  '!E515</f>
        <v>21.055</v>
      </c>
      <c r="M40" s="955">
        <f>'12-18л. МЕНЮ  '!E570</f>
        <v>22.191999999999997</v>
      </c>
      <c r="N40" s="955">
        <f>'12-18л. МЕНЮ  '!E623</f>
        <v>22.936999999999998</v>
      </c>
      <c r="O40" s="955">
        <f>'12-18л. МЕНЮ  '!E677</f>
        <v>21.860999999999997</v>
      </c>
      <c r="P40" s="1508">
        <f>'12-18л. МЕНЮ  '!E733</f>
        <v>21.439999999999998</v>
      </c>
      <c r="Q40" s="2248">
        <f t="shared" si="0"/>
        <v>270</v>
      </c>
      <c r="R40" s="2564">
        <f t="shared" si="1"/>
        <v>0</v>
      </c>
      <c r="S40" s="2243">
        <f t="shared" si="2"/>
        <v>270</v>
      </c>
      <c r="T40" s="2244">
        <v>90</v>
      </c>
      <c r="Y40" s="927"/>
      <c r="Z40" s="13"/>
      <c r="AA40" s="930"/>
      <c r="AB40" s="107"/>
      <c r="AC40" s="22"/>
      <c r="AD40" s="3"/>
      <c r="AE40" s="3"/>
    </row>
    <row r="41" spans="2:31" ht="10.5" customHeight="1">
      <c r="B41" s="596">
        <v>33</v>
      </c>
      <c r="C41" s="1103" t="s">
        <v>63</v>
      </c>
      <c r="D41" s="1108">
        <v>23</v>
      </c>
      <c r="E41" s="954">
        <f>'12-18л. МЕНЮ  '!F74</f>
        <v>23.188000000000002</v>
      </c>
      <c r="F41" s="955">
        <f>'12-18л. МЕНЮ  '!F128</f>
        <v>23.020000000000003</v>
      </c>
      <c r="G41" s="955">
        <f>'12-18л. МЕНЮ  '!F184</f>
        <v>23.034300000000002</v>
      </c>
      <c r="H41" s="955">
        <f>'12-18л. МЕНЮ  '!F238</f>
        <v>23.001000000000001</v>
      </c>
      <c r="I41" s="955">
        <f>'12-18л. МЕНЮ  '!F291</f>
        <v>22.306000000000001</v>
      </c>
      <c r="J41" s="1176">
        <f>'12-18л. МЕНЮ  '!F347</f>
        <v>23.451000000000001</v>
      </c>
      <c r="K41" s="955">
        <f>'12-18л. МЕНЮ  '!F462</f>
        <v>24.14</v>
      </c>
      <c r="L41" s="955">
        <f>'12-18л. МЕНЮ  '!F515</f>
        <v>21.753</v>
      </c>
      <c r="M41" s="955">
        <f>'12-18л. МЕНЮ  '!F570</f>
        <v>23.310000000000002</v>
      </c>
      <c r="N41" s="955">
        <f>'12-18л. МЕНЮ  '!F623</f>
        <v>23.274000000000004</v>
      </c>
      <c r="O41" s="955">
        <f>'12-18л. МЕНЮ  '!F677</f>
        <v>23.065000000000001</v>
      </c>
      <c r="P41" s="1508">
        <f>'12-18л. МЕНЮ  '!F733</f>
        <v>22.458000000000002</v>
      </c>
      <c r="Q41" s="2248">
        <f t="shared" si="0"/>
        <v>276.00030000000004</v>
      </c>
      <c r="R41" s="2564">
        <f t="shared" si="1"/>
        <v>1.0869565218740718E-4</v>
      </c>
      <c r="S41" s="2243">
        <f t="shared" si="2"/>
        <v>276</v>
      </c>
      <c r="T41" s="2244">
        <v>92</v>
      </c>
      <c r="Y41" s="927"/>
      <c r="Z41" s="13"/>
      <c r="AA41" s="930"/>
      <c r="AB41" s="107"/>
      <c r="AC41" s="22"/>
      <c r="AD41" s="3"/>
      <c r="AE41" s="3"/>
    </row>
    <row r="42" spans="2:31" ht="10.5" customHeight="1">
      <c r="B42" s="596">
        <v>34</v>
      </c>
      <c r="C42" s="1103" t="s">
        <v>64</v>
      </c>
      <c r="D42" s="1108">
        <v>95.75</v>
      </c>
      <c r="E42" s="956">
        <f>'12-18л. МЕНЮ  '!G74</f>
        <v>95.828000000000003</v>
      </c>
      <c r="F42" s="955">
        <f>'12-18л. МЕНЮ  '!G128</f>
        <v>95.833999999999989</v>
      </c>
      <c r="G42" s="955">
        <f>'12-18л. МЕНЮ  '!G184</f>
        <v>94.865000000000009</v>
      </c>
      <c r="H42" s="955">
        <f>'12-18л. МЕНЮ  '!G238</f>
        <v>93.395999999999987</v>
      </c>
      <c r="I42" s="955">
        <f>'12-18л. МЕНЮ  '!G291</f>
        <v>100.739</v>
      </c>
      <c r="J42" s="848">
        <f>'12-18л. МЕНЮ  '!G347</f>
        <v>93.838000000000008</v>
      </c>
      <c r="K42" s="955">
        <f>'12-18л. МЕНЮ  '!G462</f>
        <v>89.205999999999989</v>
      </c>
      <c r="L42" s="955">
        <f>'12-18л. МЕНЮ  '!G515</f>
        <v>101.095</v>
      </c>
      <c r="M42" s="955">
        <f>'12-18л. МЕНЮ  '!G570</f>
        <v>95.080999999999989</v>
      </c>
      <c r="N42" s="955">
        <f>'12-18л. МЕНЮ  '!G623</f>
        <v>93.824000000000012</v>
      </c>
      <c r="O42" s="955">
        <f>'12-18л. МЕНЮ  '!G677</f>
        <v>96.718999999999994</v>
      </c>
      <c r="P42" s="1508">
        <f>'12-18л. МЕНЮ  '!G733</f>
        <v>98.575000000000017</v>
      </c>
      <c r="Q42" s="2248">
        <f t="shared" si="0"/>
        <v>1149.0000000000002</v>
      </c>
      <c r="R42" s="2564">
        <f t="shared" si="1"/>
        <v>0</v>
      </c>
      <c r="S42" s="2243">
        <f t="shared" si="2"/>
        <v>1149</v>
      </c>
      <c r="T42" s="2244">
        <v>383</v>
      </c>
      <c r="Y42" s="927"/>
      <c r="Z42" s="13"/>
      <c r="AA42" s="930"/>
      <c r="AB42" s="107"/>
      <c r="AC42" s="22"/>
      <c r="AD42" s="3"/>
      <c r="AE42" s="3"/>
    </row>
    <row r="43" spans="2:31" ht="13.5" customHeight="1" thickBot="1">
      <c r="B43" s="642">
        <v>35</v>
      </c>
      <c r="C43" s="1104" t="s">
        <v>65</v>
      </c>
      <c r="D43" s="1109">
        <v>680</v>
      </c>
      <c r="E43" s="957">
        <f>'12-18л. МЕНЮ  '!H74</f>
        <v>683.52200000000005</v>
      </c>
      <c r="F43" s="958">
        <f>'12-18л. МЕНЮ  '!H128</f>
        <v>680.37400000000002</v>
      </c>
      <c r="G43" s="958">
        <f>'12-18л. МЕНЮ  '!H184</f>
        <v>678.10320000000002</v>
      </c>
      <c r="H43" s="958">
        <f>'12-18л. МЕНЮ  '!H238</f>
        <v>676.60699999999997</v>
      </c>
      <c r="I43" s="958">
        <f>'12-18л. МЕНЮ  '!H291</f>
        <v>682.65899999999999</v>
      </c>
      <c r="J43" s="485">
        <f>'12-18л. МЕНЮ  '!H347</f>
        <v>678.73500000000001</v>
      </c>
      <c r="K43" s="958">
        <f>'12-18л. МЕНЮ  '!H462</f>
        <v>676.04399999999998</v>
      </c>
      <c r="L43" s="959">
        <f>'12-18л. МЕНЮ  '!H515</f>
        <v>683.97799999999995</v>
      </c>
      <c r="M43" s="958">
        <f>'12-18л. МЕНЮ  '!H570</f>
        <v>678.78199999999993</v>
      </c>
      <c r="N43" s="958">
        <f>'12-18л. МЕНЮ  '!H623</f>
        <v>679.07100000000003</v>
      </c>
      <c r="O43" s="958">
        <f>'12-18л. МЕНЮ  '!H677</f>
        <v>681.40499999999997</v>
      </c>
      <c r="P43" s="1509">
        <f>'12-18л. МЕНЮ  '!H733</f>
        <v>680.71999999999991</v>
      </c>
      <c r="Q43" s="2249">
        <f t="shared" si="0"/>
        <v>8160.0002000000004</v>
      </c>
      <c r="R43" s="2616">
        <f t="shared" si="1"/>
        <v>2.4509803893124626E-6</v>
      </c>
      <c r="S43" s="2246">
        <f t="shared" si="2"/>
        <v>8160</v>
      </c>
      <c r="T43" s="2247">
        <v>2720</v>
      </c>
      <c r="Y43" s="945"/>
      <c r="Z43" s="13"/>
      <c r="AA43" s="932"/>
      <c r="AB43" s="107"/>
      <c r="AC43" s="22"/>
      <c r="AD43" s="3"/>
      <c r="AE43" s="3"/>
    </row>
    <row r="44" spans="2:31">
      <c r="B44" t="s">
        <v>304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230"/>
      <c r="R44" s="11"/>
      <c r="W44" s="927"/>
      <c r="X44" s="13"/>
      <c r="Y44" s="1"/>
      <c r="Z44" s="928"/>
      <c r="AB44" s="931"/>
    </row>
    <row r="45" spans="2:31">
      <c r="B45" t="s">
        <v>305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2231"/>
      <c r="R45" s="329"/>
      <c r="W45" s="927"/>
      <c r="X45" s="13"/>
      <c r="Y45" s="1"/>
      <c r="Z45" s="928"/>
      <c r="AB45" s="929"/>
    </row>
    <row r="46" spans="2:31">
      <c r="B46" t="s">
        <v>306</v>
      </c>
      <c r="O46" s="329"/>
      <c r="P46" s="329"/>
      <c r="Q46" s="2231"/>
      <c r="R46" s="329"/>
      <c r="W46" s="927"/>
      <c r="X46" s="13"/>
      <c r="Y46" s="1"/>
      <c r="Z46" s="928"/>
      <c r="AB46" s="933"/>
    </row>
    <row r="47" spans="2:3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2"/>
      <c r="W47" s="927"/>
      <c r="X47" s="13"/>
      <c r="Y47" s="1"/>
      <c r="Z47" s="928"/>
      <c r="AB47" s="931"/>
    </row>
    <row r="48" spans="2:31">
      <c r="B48" s="1" t="s">
        <v>307</v>
      </c>
      <c r="Q48" s="22"/>
      <c r="W48" s="927"/>
      <c r="X48" s="13"/>
      <c r="Y48" s="1"/>
      <c r="Z48" s="928"/>
      <c r="AB48" s="933"/>
    </row>
    <row r="49" spans="2:28">
      <c r="B49" t="s">
        <v>308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230"/>
      <c r="R49" s="11"/>
      <c r="W49" s="927"/>
      <c r="X49" s="13"/>
      <c r="Y49" s="1"/>
      <c r="Z49" s="928"/>
      <c r="AB49" s="929"/>
    </row>
    <row r="50" spans="2:28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231"/>
      <c r="R50" s="329"/>
      <c r="W50" s="927"/>
      <c r="X50" s="13"/>
      <c r="Y50" s="1"/>
      <c r="Z50" s="928"/>
      <c r="AB50" s="929"/>
    </row>
    <row r="51" spans="2:28">
      <c r="B51" s="3"/>
      <c r="C51" s="13"/>
      <c r="D51" s="925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5"/>
      <c r="P51" s="107"/>
      <c r="Q51" s="22"/>
      <c r="W51" s="927"/>
      <c r="X51" s="13"/>
      <c r="Y51" s="1"/>
      <c r="Z51" s="928"/>
      <c r="AB51" s="929"/>
    </row>
    <row r="52" spans="2:28">
      <c r="B52" s="3"/>
      <c r="C52" s="13"/>
      <c r="D52" s="925"/>
      <c r="E52" s="926"/>
      <c r="F52" s="926"/>
      <c r="G52" s="926"/>
      <c r="H52" s="926"/>
      <c r="I52" s="926"/>
      <c r="J52" s="926"/>
      <c r="K52" s="926"/>
      <c r="L52" s="926"/>
      <c r="M52" s="926"/>
      <c r="N52" s="926"/>
      <c r="O52" s="925"/>
      <c r="P52" s="107"/>
      <c r="Q52" s="22"/>
      <c r="W52" s="927"/>
      <c r="X52" s="13"/>
      <c r="Y52" s="1"/>
      <c r="Z52" s="928"/>
      <c r="AB52" s="929"/>
    </row>
    <row r="53" spans="2:28">
      <c r="B53" s="3"/>
      <c r="C53" s="13"/>
      <c r="D53" s="925"/>
      <c r="E53" s="926"/>
      <c r="F53" s="926"/>
      <c r="G53" s="926"/>
      <c r="H53" s="926"/>
      <c r="I53" s="926"/>
      <c r="J53" s="926"/>
      <c r="K53" s="926"/>
      <c r="L53" s="926"/>
      <c r="M53" s="926"/>
      <c r="N53" s="926"/>
      <c r="O53" s="925"/>
      <c r="P53" s="107"/>
      <c r="Q53" s="22"/>
      <c r="W53" s="927"/>
      <c r="X53" s="13"/>
      <c r="Y53" s="1"/>
      <c r="Z53" s="928"/>
      <c r="AB53" s="929"/>
    </row>
    <row r="54" spans="2:28">
      <c r="B54" s="3"/>
      <c r="C54" s="13"/>
      <c r="D54" s="925"/>
      <c r="E54" s="926"/>
      <c r="F54" s="926"/>
      <c r="G54" s="926"/>
      <c r="H54" s="926"/>
      <c r="I54" s="926"/>
      <c r="J54" s="926"/>
      <c r="K54" s="926"/>
      <c r="L54" s="926"/>
      <c r="M54" s="926"/>
      <c r="N54" s="926"/>
      <c r="O54" s="925"/>
      <c r="P54" s="107"/>
      <c r="Q54" s="22"/>
      <c r="W54" s="927"/>
      <c r="X54" s="13"/>
      <c r="Y54" s="1"/>
      <c r="Z54" s="928"/>
      <c r="AB54" s="929"/>
    </row>
    <row r="55" spans="2:28">
      <c r="B55" s="3"/>
      <c r="C55" s="13"/>
      <c r="D55" s="925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5"/>
      <c r="P55" s="107"/>
      <c r="Q55" s="22"/>
      <c r="W55" s="927"/>
      <c r="X55" s="13"/>
      <c r="Y55" s="1"/>
      <c r="Z55" s="928"/>
      <c r="AB55" s="929"/>
    </row>
    <row r="56" spans="2:28">
      <c r="B56" s="3"/>
      <c r="C56" s="13"/>
      <c r="D56" s="925"/>
      <c r="E56" s="926"/>
      <c r="F56" s="926"/>
      <c r="G56" s="926"/>
      <c r="H56" s="926"/>
      <c r="I56" s="926"/>
      <c r="J56" s="926"/>
      <c r="K56" s="926"/>
      <c r="L56" s="926"/>
      <c r="M56" s="926"/>
      <c r="N56" s="926"/>
      <c r="O56" s="925"/>
      <c r="P56" s="107"/>
      <c r="Q56" s="22"/>
      <c r="W56" s="927"/>
      <c r="X56" s="13"/>
      <c r="Y56" s="1"/>
      <c r="Z56" s="928"/>
      <c r="AB56" s="931"/>
    </row>
    <row r="57" spans="2:28" ht="13.5" customHeight="1">
      <c r="B57" s="3"/>
      <c r="C57" s="13"/>
      <c r="D57" s="925"/>
      <c r="E57" s="689"/>
      <c r="F57" s="935"/>
      <c r="G57" s="936"/>
      <c r="H57" s="926"/>
      <c r="I57" s="926"/>
      <c r="J57" s="926"/>
      <c r="K57" s="926"/>
      <c r="L57" s="935"/>
      <c r="M57" s="935"/>
      <c r="N57" s="926"/>
      <c r="O57" s="930"/>
      <c r="P57" s="107"/>
      <c r="Q57" s="22"/>
      <c r="W57" s="927"/>
      <c r="X57" s="13"/>
      <c r="Y57" s="1"/>
      <c r="Z57" s="928"/>
      <c r="AB57" s="937"/>
    </row>
    <row r="58" spans="2:28">
      <c r="B58" s="3"/>
      <c r="C58" s="13"/>
      <c r="D58" s="925"/>
      <c r="E58" s="689"/>
      <c r="F58" s="935"/>
      <c r="G58" s="936"/>
      <c r="H58" s="926"/>
      <c r="I58" s="926"/>
      <c r="J58" s="926"/>
      <c r="K58" s="926"/>
      <c r="L58" s="935"/>
      <c r="M58" s="935"/>
      <c r="N58" s="926"/>
      <c r="O58" s="925"/>
      <c r="P58" s="107"/>
      <c r="Q58" s="22"/>
      <c r="W58" s="927"/>
      <c r="X58" s="13"/>
      <c r="Y58" s="1"/>
      <c r="Z58" s="928"/>
      <c r="AB58" s="929"/>
    </row>
    <row r="59" spans="2:28" ht="13.5" customHeight="1">
      <c r="B59" s="3"/>
      <c r="C59" s="13"/>
      <c r="D59" s="925"/>
      <c r="E59" s="689"/>
      <c r="F59" s="935"/>
      <c r="G59" s="936"/>
      <c r="H59" s="926"/>
      <c r="I59" s="926"/>
      <c r="J59" s="926"/>
      <c r="K59" s="926"/>
      <c r="L59" s="935"/>
      <c r="M59" s="935"/>
      <c r="N59" s="926"/>
      <c r="O59" s="925"/>
      <c r="P59" s="107"/>
      <c r="Q59" s="22"/>
      <c r="W59" s="927"/>
      <c r="X59" s="13"/>
      <c r="Y59" s="1"/>
      <c r="Z59" s="928"/>
      <c r="AB59" s="929"/>
    </row>
    <row r="60" spans="2:28" ht="12" customHeight="1">
      <c r="B60" s="3"/>
      <c r="C60" s="13"/>
      <c r="D60" s="925"/>
      <c r="E60" s="689"/>
      <c r="F60" s="935"/>
      <c r="G60" s="936"/>
      <c r="H60" s="926"/>
      <c r="I60" s="926"/>
      <c r="J60" s="926"/>
      <c r="K60" s="926"/>
      <c r="L60" s="935"/>
      <c r="M60" s="935"/>
      <c r="N60" s="926"/>
      <c r="O60" s="925"/>
      <c r="P60" s="107"/>
      <c r="Q60" s="22"/>
      <c r="W60" s="927"/>
      <c r="X60" s="13"/>
      <c r="Y60" s="1"/>
      <c r="Z60" s="928"/>
      <c r="AB60" s="933"/>
    </row>
    <row r="61" spans="2:28">
      <c r="B61" s="3"/>
      <c r="C61" s="13"/>
      <c r="D61" s="925"/>
      <c r="E61" s="689"/>
      <c r="F61" s="935"/>
      <c r="G61" s="936"/>
      <c r="H61" s="926"/>
      <c r="I61" s="926"/>
      <c r="J61" s="926"/>
      <c r="K61" s="926"/>
      <c r="L61" s="935"/>
      <c r="M61" s="935"/>
      <c r="N61" s="926"/>
      <c r="O61" s="925"/>
      <c r="P61" s="107"/>
      <c r="Q61" s="22"/>
      <c r="W61" s="927"/>
      <c r="X61" s="13"/>
      <c r="Y61" s="1"/>
      <c r="Z61" s="928"/>
      <c r="AB61" s="929"/>
    </row>
    <row r="62" spans="2:28" ht="12.75" customHeight="1">
      <c r="B62" s="3"/>
      <c r="C62" s="13"/>
      <c r="D62" s="925"/>
      <c r="E62" s="689"/>
      <c r="F62" s="935"/>
      <c r="G62" s="936"/>
      <c r="H62" s="926"/>
      <c r="I62" s="926"/>
      <c r="J62" s="926"/>
      <c r="K62" s="926"/>
      <c r="L62" s="935"/>
      <c r="M62" s="935"/>
      <c r="N62" s="926"/>
      <c r="O62" s="925"/>
      <c r="P62" s="107"/>
      <c r="Q62" s="22"/>
      <c r="W62" s="927"/>
      <c r="X62" s="13"/>
      <c r="Y62" s="1"/>
      <c r="Z62" s="928"/>
      <c r="AB62" s="929"/>
    </row>
    <row r="63" spans="2:28">
      <c r="B63" s="3"/>
      <c r="C63" s="13"/>
      <c r="D63" s="925"/>
      <c r="E63" s="689"/>
      <c r="F63" s="935"/>
      <c r="G63" s="936"/>
      <c r="H63" s="926"/>
      <c r="I63" s="926"/>
      <c r="J63" s="926"/>
      <c r="K63" s="926"/>
      <c r="L63" s="935"/>
      <c r="M63" s="935"/>
      <c r="N63" s="926"/>
      <c r="O63" s="925"/>
      <c r="P63" s="107"/>
      <c r="Q63" s="22"/>
      <c r="W63" s="927"/>
      <c r="X63" s="13"/>
      <c r="Y63" s="1"/>
      <c r="Z63" s="928"/>
      <c r="AB63" s="929"/>
    </row>
    <row r="64" spans="2:28" ht="12.75" customHeight="1">
      <c r="B64" s="3"/>
      <c r="C64" s="13"/>
      <c r="D64" s="925"/>
      <c r="E64" s="689"/>
      <c r="F64" s="935"/>
      <c r="G64" s="936"/>
      <c r="H64" s="926"/>
      <c r="I64" s="926"/>
      <c r="J64" s="926"/>
      <c r="K64" s="926"/>
      <c r="L64" s="935"/>
      <c r="M64" s="935"/>
      <c r="N64" s="926"/>
      <c r="O64" s="925"/>
      <c r="P64" s="107"/>
      <c r="Q64" s="22"/>
      <c r="W64" s="927"/>
      <c r="X64" s="13"/>
      <c r="Y64" s="1"/>
      <c r="Z64" s="928"/>
      <c r="AB64" s="929"/>
    </row>
    <row r="65" spans="2:28">
      <c r="B65" s="3"/>
      <c r="C65" s="13"/>
      <c r="D65" s="925"/>
      <c r="E65" s="689"/>
      <c r="F65" s="935"/>
      <c r="G65" s="936"/>
      <c r="H65" s="926"/>
      <c r="I65" s="926"/>
      <c r="J65" s="926"/>
      <c r="K65" s="926"/>
      <c r="L65" s="935"/>
      <c r="M65" s="935"/>
      <c r="N65" s="926"/>
      <c r="O65" s="925"/>
      <c r="P65" s="107"/>
      <c r="Q65" s="22"/>
      <c r="W65" s="927"/>
      <c r="X65" s="13"/>
      <c r="Y65" s="1"/>
      <c r="Z65" s="928"/>
      <c r="AB65" s="929"/>
    </row>
    <row r="66" spans="2:28" ht="12.75" customHeight="1">
      <c r="B66" s="3"/>
      <c r="C66" s="13"/>
      <c r="D66" s="925"/>
      <c r="E66" s="689"/>
      <c r="F66" s="935"/>
      <c r="G66" s="936"/>
      <c r="H66" s="926"/>
      <c r="I66" s="926"/>
      <c r="J66" s="926"/>
      <c r="K66" s="926"/>
      <c r="L66" s="935"/>
      <c r="M66" s="935"/>
      <c r="N66" s="926"/>
      <c r="O66" s="925"/>
      <c r="P66" s="938"/>
      <c r="Q66" s="22"/>
      <c r="W66" s="927"/>
      <c r="X66" s="13"/>
      <c r="Y66" s="1"/>
      <c r="Z66" s="928"/>
      <c r="AB66" s="939"/>
    </row>
    <row r="67" spans="2:28">
      <c r="B67" s="3"/>
      <c r="C67" s="13"/>
      <c r="D67" s="925"/>
      <c r="E67" s="689"/>
      <c r="F67" s="935"/>
      <c r="G67" s="936"/>
      <c r="H67" s="926"/>
      <c r="I67" s="926"/>
      <c r="J67" s="926"/>
      <c r="K67" s="926"/>
      <c r="L67" s="935"/>
      <c r="M67" s="935"/>
      <c r="N67" s="926"/>
      <c r="O67" s="925"/>
      <c r="P67" s="107"/>
      <c r="Q67" s="22"/>
      <c r="W67" s="927"/>
      <c r="X67" s="13"/>
      <c r="Y67" s="1"/>
      <c r="Z67" s="928"/>
      <c r="AB67" s="929"/>
    </row>
    <row r="68" spans="2:28" ht="12.75" customHeight="1">
      <c r="B68" s="3"/>
      <c r="C68" s="13"/>
      <c r="D68" s="925"/>
      <c r="E68" s="689"/>
      <c r="F68" s="936"/>
      <c r="G68" s="936"/>
      <c r="H68" s="926"/>
      <c r="I68" s="926"/>
      <c r="J68" s="926"/>
      <c r="K68" s="926"/>
      <c r="L68" s="935"/>
      <c r="M68" s="940"/>
      <c r="N68" s="926"/>
      <c r="O68" s="925"/>
      <c r="P68" s="938"/>
      <c r="Q68" s="22"/>
      <c r="W68" s="927"/>
      <c r="X68" s="13"/>
      <c r="Y68" s="1"/>
      <c r="Z68" s="928"/>
      <c r="AB68" s="941"/>
    </row>
    <row r="69" spans="2:28" hidden="1">
      <c r="B69" s="3"/>
      <c r="C69" s="13"/>
      <c r="D69" s="925"/>
      <c r="E69" s="689"/>
      <c r="F69" s="935"/>
      <c r="G69" s="936"/>
      <c r="H69" s="926"/>
      <c r="I69" s="926"/>
      <c r="J69" s="926"/>
      <c r="K69" s="926"/>
      <c r="L69" s="935"/>
      <c r="M69" s="935"/>
      <c r="N69" s="926"/>
      <c r="O69" s="925"/>
      <c r="P69" s="107"/>
      <c r="Q69" s="22"/>
      <c r="W69" s="927"/>
      <c r="X69" s="13"/>
      <c r="Y69" s="1"/>
      <c r="Z69" s="928"/>
      <c r="AB69" s="933"/>
    </row>
    <row r="70" spans="2:28">
      <c r="B70" s="3"/>
      <c r="C70" s="4"/>
      <c r="D70" s="925"/>
      <c r="E70" s="689"/>
      <c r="F70" s="935"/>
      <c r="G70" s="936"/>
      <c r="H70" s="926"/>
      <c r="I70" s="926"/>
      <c r="J70" s="926"/>
      <c r="K70" s="926"/>
      <c r="L70" s="935"/>
      <c r="M70" s="935"/>
      <c r="N70" s="926"/>
      <c r="O70" s="925"/>
      <c r="P70" s="107"/>
      <c r="Q70" s="22"/>
      <c r="W70" s="927"/>
      <c r="X70" s="13"/>
      <c r="Y70" s="1"/>
      <c r="Z70" s="928"/>
      <c r="AB70" s="929"/>
    </row>
    <row r="71" spans="2:28">
      <c r="B71" s="3"/>
      <c r="C71" s="13"/>
      <c r="D71" s="925"/>
      <c r="E71" s="689"/>
      <c r="F71" s="935"/>
      <c r="G71" s="936"/>
      <c r="H71" s="926"/>
      <c r="I71" s="926"/>
      <c r="J71" s="926"/>
      <c r="K71" s="926"/>
      <c r="L71" s="935"/>
      <c r="M71" s="935"/>
      <c r="N71" s="926"/>
      <c r="O71" s="930"/>
      <c r="P71" s="938"/>
      <c r="Q71" s="22"/>
      <c r="W71" s="927"/>
      <c r="X71" s="13"/>
      <c r="Y71" s="1"/>
      <c r="Z71" s="928"/>
      <c r="AB71" s="939"/>
    </row>
    <row r="72" spans="2:28">
      <c r="B72" s="3"/>
      <c r="C72" s="13"/>
      <c r="D72" s="925"/>
      <c r="E72" s="689"/>
      <c r="F72" s="935"/>
      <c r="G72" s="936"/>
      <c r="H72" s="926"/>
      <c r="I72" s="926"/>
      <c r="J72" s="926"/>
      <c r="K72" s="926"/>
      <c r="L72" s="935"/>
      <c r="M72" s="935"/>
      <c r="N72" s="926"/>
      <c r="O72" s="930"/>
      <c r="P72" s="107"/>
      <c r="Q72" s="22"/>
      <c r="W72" s="927"/>
      <c r="X72" s="13"/>
      <c r="Y72" s="1"/>
      <c r="Z72" s="928"/>
      <c r="AB72" s="942"/>
    </row>
    <row r="73" spans="2:28">
      <c r="B73" s="3"/>
      <c r="C73" s="13"/>
      <c r="D73" s="925"/>
      <c r="E73" s="943"/>
      <c r="F73" s="151"/>
      <c r="G73" s="151"/>
      <c r="H73" s="151"/>
      <c r="I73" s="151"/>
      <c r="J73" s="151"/>
      <c r="K73" s="151"/>
      <c r="L73" s="151"/>
      <c r="M73" s="151"/>
      <c r="N73" s="151"/>
      <c r="O73" s="930"/>
      <c r="P73" s="107"/>
      <c r="Q73" s="22"/>
      <c r="W73" s="927"/>
      <c r="X73" s="13"/>
      <c r="Y73" s="1"/>
      <c r="Z73" s="928"/>
      <c r="AB73" s="929"/>
    </row>
    <row r="74" spans="2:28">
      <c r="B74" s="3"/>
      <c r="C74" s="13"/>
      <c r="D74" s="925"/>
      <c r="E74" s="943"/>
      <c r="F74" s="151"/>
      <c r="G74" s="151"/>
      <c r="H74" s="151"/>
      <c r="I74" s="151"/>
      <c r="J74" s="151"/>
      <c r="K74" s="151"/>
      <c r="L74" s="151"/>
      <c r="M74" s="151"/>
      <c r="N74" s="151"/>
      <c r="O74" s="930"/>
      <c r="P74" s="107"/>
      <c r="Q74" s="22"/>
      <c r="W74" s="927"/>
      <c r="X74" s="13"/>
      <c r="Y74" s="1"/>
      <c r="Z74" s="928"/>
      <c r="AB74" s="929"/>
    </row>
    <row r="75" spans="2:28">
      <c r="B75" s="3"/>
      <c r="C75" s="13"/>
      <c r="D75" s="925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930"/>
      <c r="P75" s="107"/>
      <c r="Q75" s="22"/>
      <c r="W75" s="927"/>
      <c r="X75" s="13"/>
      <c r="Y75" s="1"/>
      <c r="Z75" s="928"/>
      <c r="AB75" s="929"/>
    </row>
    <row r="76" spans="2:28">
      <c r="B76" s="3"/>
      <c r="C76" s="13"/>
      <c r="D76" s="925"/>
      <c r="E76" s="151"/>
      <c r="F76" s="151"/>
      <c r="G76" s="151"/>
      <c r="H76" s="151"/>
      <c r="I76" s="151"/>
      <c r="J76" s="151"/>
      <c r="K76" s="944"/>
      <c r="L76" s="151"/>
      <c r="M76" s="151"/>
      <c r="N76" s="151"/>
      <c r="O76" s="932"/>
      <c r="P76" s="107"/>
      <c r="Q76" s="22"/>
      <c r="W76" s="945"/>
      <c r="X76" s="13"/>
      <c r="Y76" s="946"/>
      <c r="Z76" s="928"/>
      <c r="AB76" s="929"/>
    </row>
    <row r="77" spans="2:28">
      <c r="B77" s="94"/>
      <c r="D77" s="94"/>
    </row>
    <row r="78" spans="2:28">
      <c r="C78" s="13"/>
      <c r="D78" s="22"/>
      <c r="E78" s="14"/>
      <c r="F78" s="14"/>
      <c r="G78" s="14"/>
      <c r="H78" s="14"/>
      <c r="I78" s="14"/>
      <c r="J78" s="14"/>
      <c r="K78" s="14"/>
      <c r="L78" s="14"/>
      <c r="M78" s="13"/>
      <c r="N78" s="13"/>
      <c r="O78" s="9"/>
      <c r="P78" s="9"/>
      <c r="Q78" s="13"/>
      <c r="R78" s="22"/>
      <c r="T78" s="22"/>
      <c r="U78" s="13"/>
    </row>
    <row r="79" spans="2:28">
      <c r="C79" s="13"/>
      <c r="D79" s="9"/>
      <c r="E79" s="14"/>
      <c r="F79" s="14"/>
      <c r="G79" s="14"/>
      <c r="H79" s="14"/>
      <c r="I79" s="14"/>
      <c r="J79" s="14"/>
      <c r="K79" s="14"/>
      <c r="L79" s="14"/>
      <c r="M79" s="13"/>
      <c r="N79" s="13"/>
      <c r="O79" s="9"/>
      <c r="P79" s="9"/>
      <c r="Q79" s="13"/>
      <c r="R79" s="22"/>
      <c r="T79" s="22"/>
      <c r="U79" s="13"/>
    </row>
    <row r="80" spans="2:28">
      <c r="C80" s="22"/>
      <c r="D80" s="22"/>
      <c r="E80" s="14"/>
      <c r="F80" s="14"/>
      <c r="G80" s="14"/>
      <c r="H80" s="14"/>
      <c r="K80" s="14"/>
      <c r="L80" s="48"/>
      <c r="M80" s="13"/>
      <c r="N80" s="13"/>
      <c r="O80" s="9"/>
      <c r="P80" s="9"/>
      <c r="Q80" s="22"/>
      <c r="R80" s="22"/>
      <c r="T80" s="22"/>
      <c r="U80" s="13"/>
      <c r="AB80" s="922"/>
    </row>
    <row r="81" spans="2:28">
      <c r="C81" s="13"/>
      <c r="D81" s="13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9"/>
      <c r="P81" s="9"/>
      <c r="Q81" s="22"/>
      <c r="R81" s="22"/>
      <c r="T81" s="22"/>
      <c r="U81" s="13"/>
      <c r="Z81" s="150"/>
      <c r="AB81" s="922"/>
    </row>
    <row r="82" spans="2:28">
      <c r="C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9"/>
      <c r="P82" s="9"/>
      <c r="Q82" s="13"/>
      <c r="R82" s="22"/>
      <c r="T82" s="22"/>
      <c r="U82" s="13"/>
      <c r="Z82" s="150"/>
      <c r="AB82" s="923"/>
    </row>
    <row r="83" spans="2:28">
      <c r="C83" s="13"/>
      <c r="D83" s="14"/>
      <c r="E83" s="13"/>
      <c r="F83" s="13"/>
      <c r="G83" s="13"/>
      <c r="H83" s="13"/>
      <c r="I83" s="4"/>
      <c r="J83" s="13"/>
      <c r="K83" s="13"/>
      <c r="L83" s="13"/>
      <c r="M83" s="13"/>
      <c r="N83" s="4"/>
      <c r="O83" s="9"/>
      <c r="P83" s="9"/>
      <c r="Q83" s="14"/>
      <c r="R83" s="22"/>
      <c r="S83" s="13"/>
      <c r="T83" s="22"/>
      <c r="U83" s="13"/>
      <c r="W83" s="345"/>
      <c r="X83" s="22"/>
      <c r="Y83" s="3"/>
      <c r="Z83" s="924"/>
      <c r="AB83" s="923"/>
    </row>
    <row r="84" spans="2:28">
      <c r="B84" s="3"/>
      <c r="C84" s="13"/>
      <c r="D84" s="925"/>
      <c r="E84" s="940"/>
      <c r="F84" s="926"/>
      <c r="G84" s="926"/>
      <c r="H84" s="926"/>
      <c r="I84" s="926"/>
      <c r="J84" s="926"/>
      <c r="K84" s="926"/>
      <c r="L84" s="926"/>
      <c r="M84" s="926"/>
      <c r="N84" s="926"/>
      <c r="O84" s="925"/>
      <c r="P84" s="22"/>
      <c r="Q84" s="22"/>
      <c r="S84" s="64"/>
      <c r="W84" s="927"/>
      <c r="X84" s="13"/>
      <c r="Y84" s="1"/>
      <c r="Z84" s="928"/>
      <c r="AB84" s="929"/>
    </row>
    <row r="85" spans="2:28">
      <c r="B85" s="3"/>
      <c r="C85" s="13"/>
      <c r="D85" s="925"/>
      <c r="E85" s="940"/>
      <c r="F85" s="926"/>
      <c r="G85" s="926"/>
      <c r="H85" s="926"/>
      <c r="I85" s="926"/>
      <c r="J85" s="926"/>
      <c r="K85" s="926"/>
      <c r="L85" s="926"/>
      <c r="M85" s="926"/>
      <c r="N85" s="926"/>
      <c r="O85" s="930"/>
      <c r="P85" s="107"/>
      <c r="Q85" s="22"/>
      <c r="W85" s="927"/>
      <c r="X85" s="13"/>
      <c r="Y85" s="1"/>
      <c r="Z85" s="928"/>
      <c r="AB85" s="929"/>
    </row>
    <row r="86" spans="2:28">
      <c r="B86" s="3"/>
      <c r="C86" s="13"/>
      <c r="D86" s="925"/>
      <c r="E86" s="940"/>
      <c r="F86" s="926"/>
      <c r="G86" s="926"/>
      <c r="H86" s="940"/>
      <c r="I86" s="926"/>
      <c r="J86" s="926"/>
      <c r="K86" s="940"/>
      <c r="L86" s="926"/>
      <c r="M86" s="926"/>
      <c r="N86" s="926"/>
      <c r="O86" s="925"/>
      <c r="P86" s="107"/>
      <c r="Q86" s="22"/>
      <c r="W86" s="927"/>
      <c r="X86" s="13"/>
      <c r="Y86" s="1"/>
      <c r="Z86" s="928"/>
      <c r="AB86" s="931"/>
    </row>
    <row r="87" spans="2:28">
      <c r="B87" s="3"/>
      <c r="C87" s="13"/>
      <c r="D87" s="925"/>
      <c r="E87" s="940"/>
      <c r="F87" s="926"/>
      <c r="G87" s="926"/>
      <c r="H87" s="926"/>
      <c r="I87" s="926"/>
      <c r="J87" s="926"/>
      <c r="K87" s="926"/>
      <c r="L87" s="926"/>
      <c r="M87" s="926"/>
      <c r="N87" s="940"/>
      <c r="O87" s="932"/>
      <c r="P87" s="107"/>
      <c r="Q87" s="22"/>
      <c r="W87" s="927"/>
      <c r="X87" s="13"/>
      <c r="Y87" s="1"/>
      <c r="Z87" s="928"/>
      <c r="AB87" s="929"/>
    </row>
    <row r="88" spans="2:28">
      <c r="B88" s="3"/>
      <c r="C88" s="13"/>
      <c r="D88" s="925"/>
      <c r="E88" s="940"/>
      <c r="F88" s="926"/>
      <c r="G88" s="926"/>
      <c r="H88" s="926"/>
      <c r="I88" s="926"/>
      <c r="J88" s="926"/>
      <c r="K88" s="926"/>
      <c r="L88" s="926"/>
      <c r="M88" s="926"/>
      <c r="N88" s="926"/>
      <c r="O88" s="925"/>
      <c r="P88" s="107"/>
      <c r="Q88" s="22"/>
      <c r="W88" s="927"/>
      <c r="X88" s="13"/>
      <c r="Y88" s="1"/>
      <c r="Z88" s="928"/>
      <c r="AB88" s="933"/>
    </row>
    <row r="89" spans="2:28">
      <c r="B89" s="3"/>
      <c r="C89" s="13"/>
      <c r="D89" s="925"/>
      <c r="E89" s="940"/>
      <c r="F89" s="926"/>
      <c r="G89" s="926"/>
      <c r="H89" s="926"/>
      <c r="I89" s="926"/>
      <c r="J89" s="926"/>
      <c r="K89" s="926"/>
      <c r="L89" s="926"/>
      <c r="M89" s="926"/>
      <c r="N89" s="926"/>
      <c r="O89" s="925"/>
      <c r="P89" s="107"/>
      <c r="Q89" s="22"/>
      <c r="W89" s="927"/>
      <c r="X89" s="13"/>
      <c r="Y89" s="1"/>
      <c r="Z89" s="928"/>
      <c r="AB89" s="931"/>
    </row>
    <row r="90" spans="2:28">
      <c r="B90" s="3"/>
      <c r="C90" s="13"/>
      <c r="D90" s="925"/>
      <c r="E90" s="940"/>
      <c r="F90" s="926"/>
      <c r="G90" s="9"/>
      <c r="H90" s="935"/>
      <c r="I90" s="940"/>
      <c r="J90" s="926"/>
      <c r="K90" s="926"/>
      <c r="L90" s="926"/>
      <c r="M90" s="926"/>
      <c r="N90" s="926"/>
      <c r="O90" s="934"/>
      <c r="P90" s="107"/>
      <c r="Q90" s="22"/>
      <c r="W90" s="927"/>
      <c r="X90" s="13"/>
      <c r="Y90" s="1"/>
      <c r="Z90" s="928"/>
      <c r="AB90" s="933"/>
    </row>
    <row r="91" spans="2:28">
      <c r="B91" s="3"/>
      <c r="C91" s="13"/>
      <c r="D91" s="925"/>
      <c r="E91" s="940"/>
      <c r="F91" s="926"/>
      <c r="G91" s="926"/>
      <c r="H91" s="926"/>
      <c r="I91" s="926"/>
      <c r="J91" s="926"/>
      <c r="K91" s="926"/>
      <c r="L91" s="926"/>
      <c r="M91" s="926"/>
      <c r="N91" s="926"/>
      <c r="O91" s="925"/>
      <c r="P91" s="107"/>
      <c r="Q91" s="22"/>
      <c r="W91" s="927"/>
      <c r="X91" s="13"/>
      <c r="Y91" s="1"/>
      <c r="Z91" s="928"/>
      <c r="AB91" s="929"/>
    </row>
    <row r="92" spans="2:28">
      <c r="B92" s="3"/>
      <c r="C92" s="13"/>
      <c r="D92" s="925"/>
      <c r="E92" s="940"/>
      <c r="F92" s="926"/>
      <c r="G92" s="926"/>
      <c r="H92" s="926"/>
      <c r="I92" s="926"/>
      <c r="J92" s="926"/>
      <c r="K92" s="926"/>
      <c r="L92" s="926"/>
      <c r="M92" s="926"/>
      <c r="N92" s="926"/>
      <c r="O92" s="925"/>
      <c r="P92" s="107"/>
      <c r="Q92" s="22"/>
      <c r="W92" s="927"/>
      <c r="X92" s="13"/>
      <c r="Y92" s="1"/>
      <c r="Z92" s="928"/>
      <c r="AB92" s="929"/>
    </row>
    <row r="93" spans="2:28" ht="12.75" customHeight="1">
      <c r="B93" s="3"/>
      <c r="C93" s="13"/>
      <c r="D93" s="925"/>
      <c r="E93" s="940"/>
      <c r="F93" s="926"/>
      <c r="G93" s="926"/>
      <c r="H93" s="926"/>
      <c r="I93" s="926"/>
      <c r="J93" s="926"/>
      <c r="K93" s="926"/>
      <c r="L93" s="926"/>
      <c r="M93" s="926"/>
      <c r="N93" s="926"/>
      <c r="O93" s="925"/>
      <c r="P93" s="107"/>
      <c r="Q93" s="22"/>
      <c r="W93" s="927"/>
      <c r="X93" s="13"/>
      <c r="Y93" s="1"/>
      <c r="Z93" s="928"/>
      <c r="AB93" s="929"/>
    </row>
    <row r="94" spans="2:28" ht="13.5" customHeight="1">
      <c r="B94" s="3"/>
      <c r="C94" s="13"/>
      <c r="D94" s="925"/>
      <c r="E94" s="940"/>
      <c r="F94" s="926"/>
      <c r="G94" s="926"/>
      <c r="H94" s="926"/>
      <c r="I94" s="926"/>
      <c r="J94" s="926"/>
      <c r="K94" s="926"/>
      <c r="L94" s="926"/>
      <c r="M94" s="926"/>
      <c r="N94" s="926"/>
      <c r="O94" s="925"/>
      <c r="P94" s="107"/>
      <c r="Q94" s="22"/>
      <c r="W94" s="927"/>
      <c r="X94" s="13"/>
      <c r="Y94" s="1"/>
      <c r="Z94" s="928"/>
      <c r="AB94" s="929"/>
    </row>
    <row r="95" spans="2:28" ht="12.75" customHeight="1">
      <c r="B95" s="3"/>
      <c r="C95" s="13"/>
      <c r="D95" s="925"/>
      <c r="E95" s="940"/>
      <c r="F95" s="926"/>
      <c r="G95" s="926"/>
      <c r="H95" s="926"/>
      <c r="I95" s="926"/>
      <c r="J95" s="926"/>
      <c r="K95" s="926"/>
      <c r="L95" s="926"/>
      <c r="M95" s="926"/>
      <c r="N95" s="926"/>
      <c r="O95" s="925"/>
      <c r="P95" s="107"/>
      <c r="Q95" s="22"/>
      <c r="W95" s="927"/>
      <c r="X95" s="13"/>
      <c r="Y95" s="1"/>
      <c r="Z95" s="928"/>
      <c r="AB95" s="929"/>
    </row>
    <row r="96" spans="2:28">
      <c r="B96" s="3"/>
      <c r="C96" s="13"/>
      <c r="D96" s="925"/>
      <c r="E96" s="940"/>
      <c r="F96" s="926"/>
      <c r="G96" s="926"/>
      <c r="H96" s="926"/>
      <c r="I96" s="926"/>
      <c r="J96" s="926"/>
      <c r="K96" s="926"/>
      <c r="L96" s="926"/>
      <c r="M96" s="926"/>
      <c r="N96" s="926"/>
      <c r="O96" s="925"/>
      <c r="P96" s="107"/>
      <c r="Q96" s="22"/>
      <c r="W96" s="927"/>
      <c r="X96" s="13"/>
      <c r="Y96" s="1"/>
      <c r="Z96" s="928"/>
      <c r="AB96" s="929"/>
    </row>
    <row r="97" spans="2:28">
      <c r="B97" s="3"/>
      <c r="C97" s="13"/>
      <c r="D97" s="925"/>
      <c r="E97" s="940"/>
      <c r="F97" s="926"/>
      <c r="G97" s="926"/>
      <c r="H97" s="926"/>
      <c r="I97" s="926"/>
      <c r="J97" s="926"/>
      <c r="K97" s="926"/>
      <c r="L97" s="926"/>
      <c r="M97" s="926"/>
      <c r="N97" s="926"/>
      <c r="O97" s="925"/>
      <c r="P97" s="107"/>
      <c r="Q97" s="22"/>
      <c r="W97" s="927"/>
      <c r="X97" s="13"/>
      <c r="Y97" s="1"/>
      <c r="Z97" s="928"/>
      <c r="AB97" s="929"/>
    </row>
    <row r="98" spans="2:28">
      <c r="B98" s="3"/>
      <c r="C98" s="13"/>
      <c r="D98" s="925"/>
      <c r="E98" s="940"/>
      <c r="F98" s="926"/>
      <c r="G98" s="926"/>
      <c r="H98" s="926"/>
      <c r="I98" s="926"/>
      <c r="J98" s="926"/>
      <c r="K98" s="926"/>
      <c r="L98" s="926"/>
      <c r="M98" s="926"/>
      <c r="N98" s="926"/>
      <c r="O98" s="925"/>
      <c r="P98" s="107"/>
      <c r="Q98" s="22"/>
      <c r="W98" s="927"/>
      <c r="X98" s="13"/>
      <c r="Y98" s="1"/>
      <c r="Z98" s="928"/>
      <c r="AB98" s="931"/>
    </row>
    <row r="99" spans="2:28" ht="12.75" customHeight="1">
      <c r="B99" s="3"/>
      <c r="C99" s="13"/>
      <c r="D99" s="925"/>
      <c r="E99" s="943"/>
      <c r="F99" s="935"/>
      <c r="G99" s="936"/>
      <c r="H99" s="926"/>
      <c r="I99" s="926"/>
      <c r="J99" s="926"/>
      <c r="K99" s="926"/>
      <c r="L99" s="935"/>
      <c r="M99" s="935"/>
      <c r="N99" s="926"/>
      <c r="O99" s="930"/>
      <c r="P99" s="107"/>
      <c r="Q99" s="22"/>
      <c r="W99" s="927"/>
      <c r="X99" s="13"/>
      <c r="Y99" s="1"/>
      <c r="Z99" s="928"/>
      <c r="AB99" s="937"/>
    </row>
    <row r="100" spans="2:28" ht="12.75" customHeight="1">
      <c r="B100" s="3"/>
      <c r="C100" s="13"/>
      <c r="D100" s="925"/>
      <c r="E100" s="943"/>
      <c r="F100" s="935"/>
      <c r="G100" s="936"/>
      <c r="H100" s="926"/>
      <c r="I100" s="926"/>
      <c r="J100" s="926"/>
      <c r="K100" s="926"/>
      <c r="L100" s="935"/>
      <c r="M100" s="935"/>
      <c r="N100" s="926"/>
      <c r="O100" s="925"/>
      <c r="P100" s="107"/>
      <c r="Q100" s="22"/>
      <c r="W100" s="927"/>
      <c r="X100" s="13"/>
      <c r="Y100" s="1"/>
      <c r="Z100" s="928"/>
      <c r="AB100" s="929"/>
    </row>
    <row r="101" spans="2:28" ht="11.25" customHeight="1">
      <c r="B101" s="3"/>
      <c r="C101" s="13"/>
      <c r="D101" s="925"/>
      <c r="E101" s="943"/>
      <c r="F101" s="935"/>
      <c r="G101" s="936"/>
      <c r="H101" s="926"/>
      <c r="I101" s="926"/>
      <c r="J101" s="926"/>
      <c r="K101" s="926"/>
      <c r="L101" s="935"/>
      <c r="M101" s="935"/>
      <c r="N101" s="926"/>
      <c r="O101" s="925"/>
      <c r="P101" s="107"/>
      <c r="Q101" s="22"/>
      <c r="W101" s="927"/>
      <c r="X101" s="13"/>
      <c r="Y101" s="1"/>
      <c r="Z101" s="928"/>
      <c r="AB101" s="929"/>
    </row>
    <row r="102" spans="2:28" ht="12.75" customHeight="1">
      <c r="B102" s="3"/>
      <c r="C102" s="13"/>
      <c r="D102" s="925"/>
      <c r="E102" s="943"/>
      <c r="F102" s="935"/>
      <c r="G102" s="936"/>
      <c r="H102" s="926"/>
      <c r="I102" s="947"/>
      <c r="J102" s="926"/>
      <c r="K102" s="947"/>
      <c r="L102" s="940"/>
      <c r="M102" s="940"/>
      <c r="N102" s="926"/>
      <c r="O102" s="925"/>
      <c r="P102" s="107"/>
      <c r="Q102" s="22"/>
      <c r="W102" s="927"/>
      <c r="X102" s="13"/>
      <c r="Y102" s="1"/>
      <c r="Z102" s="928"/>
      <c r="AB102" s="933"/>
    </row>
    <row r="103" spans="2:28" ht="13.5" customHeight="1">
      <c r="B103" s="3"/>
      <c r="C103" s="13"/>
      <c r="D103" s="925"/>
      <c r="E103" s="943"/>
      <c r="F103" s="940"/>
      <c r="G103" s="936"/>
      <c r="H103" s="926"/>
      <c r="I103" s="926"/>
      <c r="J103" s="926"/>
      <c r="K103" s="926"/>
      <c r="L103" s="940"/>
      <c r="M103" s="940"/>
      <c r="N103" s="926"/>
      <c r="O103" s="925"/>
      <c r="P103" s="107"/>
      <c r="Q103" s="22"/>
      <c r="W103" s="927"/>
      <c r="X103" s="13"/>
      <c r="Y103" s="1"/>
      <c r="Z103" s="928"/>
      <c r="AB103" s="929"/>
    </row>
    <row r="104" spans="2:28" ht="14.25" customHeight="1">
      <c r="B104" s="3"/>
      <c r="C104" s="13"/>
      <c r="D104" s="925"/>
      <c r="E104" s="943"/>
      <c r="F104" s="935"/>
      <c r="G104" s="936"/>
      <c r="H104" s="926"/>
      <c r="I104" s="926"/>
      <c r="J104" s="926"/>
      <c r="K104" s="926"/>
      <c r="L104" s="940"/>
      <c r="M104" s="935"/>
      <c r="N104" s="926"/>
      <c r="O104" s="925"/>
      <c r="P104" s="107"/>
      <c r="Q104" s="22"/>
      <c r="W104" s="927"/>
      <c r="X104" s="13"/>
      <c r="Y104" s="1"/>
      <c r="Z104" s="928"/>
      <c r="AB104" s="929"/>
    </row>
    <row r="105" spans="2:28">
      <c r="B105" s="3"/>
      <c r="C105" s="13"/>
      <c r="D105" s="925"/>
      <c r="E105" s="943"/>
      <c r="F105" s="940"/>
      <c r="G105" s="936"/>
      <c r="H105" s="926"/>
      <c r="I105" s="926"/>
      <c r="J105" s="926"/>
      <c r="K105" s="926"/>
      <c r="L105" s="936"/>
      <c r="M105" s="936"/>
      <c r="N105" s="9"/>
      <c r="O105" s="925"/>
      <c r="P105" s="107"/>
      <c r="Q105" s="22"/>
      <c r="W105" s="927"/>
      <c r="X105" s="13"/>
      <c r="Y105" s="1"/>
      <c r="Z105" s="928"/>
      <c r="AB105" s="929"/>
    </row>
    <row r="106" spans="2:28" ht="14.25" customHeight="1">
      <c r="B106" s="3"/>
      <c r="C106" s="13"/>
      <c r="D106" s="925"/>
      <c r="E106" s="943"/>
      <c r="F106" s="940"/>
      <c r="G106" s="940"/>
      <c r="H106" s="926"/>
      <c r="I106" s="926"/>
      <c r="J106" s="926"/>
      <c r="K106" s="935"/>
      <c r="L106" s="947"/>
      <c r="M106" s="940"/>
      <c r="N106" s="936"/>
      <c r="O106" s="925"/>
      <c r="P106" s="107"/>
      <c r="Q106" s="22"/>
      <c r="W106" s="927"/>
      <c r="X106" s="13"/>
      <c r="Y106" s="1"/>
      <c r="Z106" s="928"/>
      <c r="AB106" s="929"/>
    </row>
    <row r="107" spans="2:28">
      <c r="B107" s="3"/>
      <c r="C107" s="13"/>
      <c r="D107" s="925"/>
      <c r="E107" s="943"/>
      <c r="F107" s="935"/>
      <c r="G107" s="936"/>
      <c r="H107" s="926"/>
      <c r="I107" s="926"/>
      <c r="J107" s="926"/>
      <c r="K107" s="926"/>
      <c r="L107" s="935"/>
      <c r="M107" s="935"/>
      <c r="N107" s="926"/>
      <c r="O107" s="925"/>
      <c r="P107" s="107"/>
      <c r="Q107" s="22"/>
      <c r="W107" s="927"/>
      <c r="X107" s="13"/>
      <c r="Y107" s="1"/>
      <c r="Z107" s="928"/>
      <c r="AB107" s="929"/>
    </row>
    <row r="108" spans="2:28" ht="11.25" customHeight="1">
      <c r="B108" s="3"/>
      <c r="C108" s="13"/>
      <c r="D108" s="925"/>
      <c r="E108" s="943"/>
      <c r="F108" s="940"/>
      <c r="G108" s="936"/>
      <c r="H108" s="926"/>
      <c r="I108" s="926"/>
      <c r="J108" s="926"/>
      <c r="K108" s="926"/>
      <c r="L108" s="936"/>
      <c r="M108" s="936"/>
      <c r="N108" s="926"/>
      <c r="O108" s="925"/>
      <c r="P108" s="938"/>
      <c r="Q108" s="22"/>
      <c r="W108" s="927"/>
      <c r="X108" s="13"/>
      <c r="Y108" s="1"/>
      <c r="Z108" s="928"/>
      <c r="AB108" s="939"/>
    </row>
    <row r="109" spans="2:28">
      <c r="B109" s="3"/>
      <c r="C109" s="13"/>
      <c r="D109" s="925"/>
      <c r="E109" s="943"/>
      <c r="F109" s="935"/>
      <c r="G109" s="936"/>
      <c r="H109" s="926"/>
      <c r="I109" s="926"/>
      <c r="J109" s="926"/>
      <c r="K109" s="926"/>
      <c r="L109" s="936"/>
      <c r="M109" s="936"/>
      <c r="N109" s="926"/>
      <c r="O109" s="925"/>
      <c r="P109" s="107"/>
      <c r="Q109" s="22"/>
      <c r="W109" s="927"/>
      <c r="X109" s="13"/>
      <c r="Y109" s="1"/>
      <c r="Z109" s="928"/>
      <c r="AB109" s="929"/>
    </row>
    <row r="110" spans="2:28">
      <c r="B110" s="3"/>
      <c r="C110" s="13"/>
      <c r="D110" s="925"/>
      <c r="E110" s="943"/>
      <c r="F110" s="936"/>
      <c r="G110" s="940"/>
      <c r="H110" s="926"/>
      <c r="I110" s="926"/>
      <c r="J110" s="926"/>
      <c r="K110" s="926"/>
      <c r="L110" s="947"/>
      <c r="M110" s="940"/>
      <c r="N110" s="926"/>
      <c r="O110" s="925"/>
      <c r="P110" s="938"/>
      <c r="Q110" s="22"/>
      <c r="W110" s="927"/>
      <c r="X110" s="13"/>
      <c r="Y110" s="1"/>
      <c r="Z110" s="928"/>
      <c r="AB110" s="939"/>
    </row>
    <row r="111" spans="2:28" hidden="1">
      <c r="B111" s="3"/>
      <c r="C111" s="13"/>
      <c r="D111" s="925"/>
      <c r="E111" s="943"/>
      <c r="F111" s="940"/>
      <c r="G111" s="936"/>
      <c r="H111" s="926"/>
      <c r="I111" s="926"/>
      <c r="J111" s="926"/>
      <c r="K111" s="926"/>
      <c r="L111" s="935"/>
      <c r="M111" s="935"/>
      <c r="N111" s="926"/>
      <c r="O111" s="925"/>
      <c r="P111" s="107"/>
      <c r="Q111" s="22"/>
      <c r="W111" s="927"/>
      <c r="X111" s="13"/>
      <c r="Y111" s="1"/>
      <c r="Z111" s="928"/>
      <c r="AB111" s="933"/>
    </row>
    <row r="112" spans="2:28">
      <c r="B112" s="3"/>
      <c r="C112" s="4"/>
      <c r="D112" s="925"/>
      <c r="E112" s="943"/>
      <c r="F112" s="936"/>
      <c r="G112" s="936"/>
      <c r="H112" s="926"/>
      <c r="I112" s="926"/>
      <c r="J112" s="926"/>
      <c r="K112" s="926"/>
      <c r="L112" s="940"/>
      <c r="M112" s="940"/>
      <c r="N112" s="926"/>
      <c r="O112" s="925"/>
      <c r="P112" s="107"/>
      <c r="Q112" s="22"/>
      <c r="W112" s="927"/>
      <c r="X112" s="13"/>
      <c r="Y112" s="1"/>
      <c r="Z112" s="928"/>
      <c r="AB112" s="929"/>
    </row>
    <row r="113" spans="2:28">
      <c r="B113" s="3"/>
      <c r="C113" s="13"/>
      <c r="D113" s="925"/>
      <c r="E113" s="943"/>
      <c r="F113" s="935"/>
      <c r="G113" s="936"/>
      <c r="H113" s="947"/>
      <c r="I113" s="926"/>
      <c r="J113" s="926"/>
      <c r="K113" s="926"/>
      <c r="L113" s="935"/>
      <c r="M113" s="936"/>
      <c r="N113" s="926"/>
      <c r="O113" s="930"/>
      <c r="P113" s="938"/>
      <c r="Q113" s="22"/>
      <c r="W113" s="927"/>
      <c r="X113" s="13"/>
      <c r="Y113" s="1"/>
      <c r="Z113" s="928"/>
      <c r="AB113" s="939"/>
    </row>
    <row r="114" spans="2:28">
      <c r="B114" s="3"/>
      <c r="C114" s="13"/>
      <c r="D114" s="925"/>
      <c r="E114" s="943"/>
      <c r="F114" s="947"/>
      <c r="G114" s="947"/>
      <c r="H114" s="926"/>
      <c r="I114" s="926"/>
      <c r="J114" s="926"/>
      <c r="K114" s="926"/>
      <c r="L114" s="948"/>
      <c r="M114" s="947"/>
      <c r="N114" s="926"/>
      <c r="O114" s="930"/>
      <c r="P114" s="107"/>
      <c r="Q114" s="22"/>
      <c r="W114" s="927"/>
      <c r="X114" s="13"/>
      <c r="Y114" s="1"/>
      <c r="Z114" s="928"/>
      <c r="AB114" s="942"/>
    </row>
    <row r="115" spans="2:28">
      <c r="B115" s="3"/>
      <c r="C115" s="13"/>
      <c r="D115" s="925"/>
      <c r="E115" s="943"/>
      <c r="F115" s="151"/>
      <c r="G115" s="151"/>
      <c r="H115" s="151"/>
      <c r="I115" s="151"/>
      <c r="J115" s="151"/>
      <c r="K115" s="151"/>
      <c r="L115" s="151"/>
      <c r="M115" s="151"/>
      <c r="N115" s="151"/>
      <c r="O115" s="930"/>
      <c r="P115" s="107"/>
      <c r="Q115" s="22"/>
      <c r="W115" s="927"/>
      <c r="X115" s="13"/>
      <c r="Y115" s="1"/>
      <c r="Z115" s="928"/>
      <c r="AB115" s="929"/>
    </row>
    <row r="116" spans="2:28" ht="11.25" customHeight="1">
      <c r="B116" s="3"/>
      <c r="C116" s="13"/>
      <c r="D116" s="925"/>
      <c r="E116" s="943"/>
      <c r="F116" s="151"/>
      <c r="G116" s="151"/>
      <c r="H116" s="151"/>
      <c r="I116" s="151"/>
      <c r="J116" s="151"/>
      <c r="K116" s="151"/>
      <c r="L116" s="151"/>
      <c r="M116" s="151"/>
      <c r="N116" s="151"/>
      <c r="O116" s="930"/>
      <c r="P116" s="107"/>
      <c r="Q116" s="22"/>
      <c r="W116" s="927"/>
      <c r="X116" s="13"/>
      <c r="Y116" s="1"/>
      <c r="Z116" s="928"/>
      <c r="AB116" s="929"/>
    </row>
    <row r="117" spans="2:28" ht="12.75" customHeight="1">
      <c r="B117" s="3"/>
      <c r="C117" s="13"/>
      <c r="D117" s="925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930"/>
      <c r="P117" s="107"/>
      <c r="Q117" s="22"/>
      <c r="W117" s="927"/>
      <c r="X117" s="13"/>
      <c r="Y117" s="1"/>
      <c r="Z117" s="928"/>
      <c r="AB117" s="929"/>
    </row>
    <row r="118" spans="2:28" ht="11.25" customHeight="1">
      <c r="B118" s="3"/>
      <c r="C118" s="13"/>
      <c r="D118" s="925"/>
      <c r="E118" s="151"/>
      <c r="F118" s="151"/>
      <c r="G118" s="151"/>
      <c r="H118" s="151"/>
      <c r="I118" s="151"/>
      <c r="J118" s="151"/>
      <c r="K118" s="944"/>
      <c r="L118" s="151"/>
      <c r="M118" s="151"/>
      <c r="N118" s="151"/>
      <c r="O118" s="932"/>
      <c r="P118" s="107"/>
      <c r="Q118" s="22"/>
      <c r="W118" s="945"/>
      <c r="X118" s="13"/>
      <c r="Y118" s="946"/>
      <c r="Z118" s="928"/>
      <c r="AB118" s="929"/>
    </row>
    <row r="119" spans="2:28">
      <c r="B119" s="94"/>
      <c r="D119" s="94"/>
    </row>
    <row r="120" spans="2:28">
      <c r="C120" s="13"/>
      <c r="D120" s="22"/>
      <c r="E120" s="14"/>
      <c r="F120" s="14"/>
      <c r="G120" s="14"/>
      <c r="H120" s="14"/>
      <c r="I120" s="14"/>
      <c r="J120" s="14"/>
      <c r="K120" s="14"/>
      <c r="L120" s="14"/>
      <c r="M120" s="13"/>
      <c r="N120" s="13"/>
      <c r="O120" s="9"/>
      <c r="P120" s="9"/>
      <c r="Q120" s="13"/>
      <c r="R120" s="22"/>
      <c r="T120" s="22"/>
      <c r="U120" s="13"/>
    </row>
    <row r="121" spans="2:28">
      <c r="C121" s="13"/>
      <c r="D121" s="9"/>
      <c r="E121" s="850"/>
      <c r="F121" s="14"/>
      <c r="G121" s="14"/>
      <c r="H121" s="14"/>
      <c r="I121" s="14"/>
      <c r="J121" s="14"/>
      <c r="K121" s="14"/>
      <c r="L121" s="14"/>
      <c r="M121" s="13"/>
      <c r="N121" s="13"/>
      <c r="O121" s="9"/>
      <c r="P121" s="9"/>
      <c r="Q121" s="13"/>
      <c r="R121" s="22"/>
      <c r="T121" s="22"/>
      <c r="U121" s="13"/>
    </row>
    <row r="122" spans="2:28">
      <c r="C122" s="22"/>
      <c r="D122" s="22"/>
      <c r="E122" s="14"/>
      <c r="F122" s="14"/>
      <c r="G122" s="14"/>
      <c r="H122" s="14"/>
      <c r="K122" s="14"/>
      <c r="L122" s="48"/>
      <c r="M122" s="13"/>
      <c r="N122" s="13"/>
      <c r="O122" s="9"/>
      <c r="P122" s="9"/>
      <c r="Q122" s="22"/>
      <c r="R122" s="22"/>
      <c r="T122" s="22"/>
      <c r="U122" s="13"/>
      <c r="AB122" s="922"/>
    </row>
    <row r="123" spans="2:28">
      <c r="C123" s="13"/>
      <c r="D123" s="1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9"/>
      <c r="P123" s="9"/>
      <c r="Q123" s="22"/>
      <c r="R123" s="22"/>
      <c r="T123" s="22"/>
      <c r="U123" s="13"/>
      <c r="Z123" s="150"/>
      <c r="AB123" s="922"/>
    </row>
    <row r="124" spans="2:28">
      <c r="C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9"/>
      <c r="P124" s="9"/>
      <c r="Q124" s="13"/>
      <c r="R124" s="22"/>
      <c r="T124" s="22"/>
      <c r="U124" s="13"/>
      <c r="Z124" s="150"/>
      <c r="AB124" s="923"/>
    </row>
    <row r="125" spans="2:28">
      <c r="C125" s="13"/>
      <c r="D125" s="14"/>
      <c r="E125" s="13"/>
      <c r="F125" s="13"/>
      <c r="G125" s="13"/>
      <c r="H125" s="13"/>
      <c r="I125" s="4"/>
      <c r="J125" s="13"/>
      <c r="K125" s="13"/>
      <c r="L125" s="13"/>
      <c r="M125" s="13"/>
      <c r="N125" s="4"/>
      <c r="O125" s="9"/>
      <c r="P125" s="9"/>
      <c r="Q125" s="14"/>
      <c r="R125" s="22"/>
      <c r="S125" s="13"/>
      <c r="T125" s="22"/>
      <c r="U125" s="13"/>
      <c r="W125" s="345"/>
      <c r="X125" s="22"/>
      <c r="Y125" s="3"/>
      <c r="Z125" s="924"/>
      <c r="AB125" s="923"/>
    </row>
    <row r="126" spans="2:28">
      <c r="B126" s="3"/>
      <c r="C126" s="13"/>
      <c r="D126" s="925"/>
      <c r="E126" s="926"/>
      <c r="F126" s="926"/>
      <c r="G126" s="926"/>
      <c r="H126" s="926"/>
      <c r="I126" s="926"/>
      <c r="J126" s="926"/>
      <c r="K126" s="926"/>
      <c r="L126" s="926"/>
      <c r="M126" s="926"/>
      <c r="N126" s="926"/>
      <c r="O126" s="925"/>
      <c r="P126" s="22"/>
      <c r="Q126" s="22"/>
      <c r="S126" s="64"/>
      <c r="W126" s="927"/>
      <c r="X126" s="13"/>
      <c r="Y126" s="1"/>
      <c r="Z126" s="928"/>
      <c r="AB126" s="929"/>
    </row>
    <row r="127" spans="2:28">
      <c r="B127" s="3"/>
      <c r="C127" s="13"/>
      <c r="D127" s="925"/>
      <c r="E127" s="926"/>
      <c r="F127" s="926"/>
      <c r="G127" s="926"/>
      <c r="H127" s="926"/>
      <c r="I127" s="926"/>
      <c r="J127" s="926"/>
      <c r="K127" s="926"/>
      <c r="L127" s="926"/>
      <c r="M127" s="926"/>
      <c r="N127" s="926"/>
      <c r="O127" s="930"/>
      <c r="P127" s="107"/>
      <c r="Q127" s="22"/>
      <c r="W127" s="927"/>
      <c r="X127" s="13"/>
      <c r="Y127" s="1"/>
      <c r="Z127" s="928"/>
      <c r="AB127" s="929"/>
    </row>
    <row r="128" spans="2:28">
      <c r="B128" s="3"/>
      <c r="C128" s="13"/>
      <c r="D128" s="925"/>
      <c r="E128" s="926"/>
      <c r="F128" s="926"/>
      <c r="G128" s="926"/>
      <c r="H128" s="940"/>
      <c r="I128" s="926"/>
      <c r="J128" s="926"/>
      <c r="K128" s="940"/>
      <c r="L128" s="926"/>
      <c r="M128" s="926"/>
      <c r="N128" s="926"/>
      <c r="O128" s="925"/>
      <c r="P128" s="107"/>
      <c r="Q128" s="22"/>
      <c r="W128" s="927"/>
      <c r="X128" s="13"/>
      <c r="Y128" s="1"/>
      <c r="Z128" s="928"/>
      <c r="AB128" s="931"/>
    </row>
    <row r="129" spans="2:28">
      <c r="B129" s="3"/>
      <c r="C129" s="13"/>
      <c r="D129" s="925"/>
      <c r="E129" s="926"/>
      <c r="F129" s="926"/>
      <c r="G129" s="926"/>
      <c r="H129" s="926"/>
      <c r="I129" s="926"/>
      <c r="J129" s="926"/>
      <c r="K129" s="926"/>
      <c r="L129" s="926"/>
      <c r="M129" s="926"/>
      <c r="N129" s="940"/>
      <c r="O129" s="932"/>
      <c r="P129" s="107"/>
      <c r="Q129" s="22"/>
      <c r="W129" s="927"/>
      <c r="X129" s="13"/>
      <c r="Y129" s="1"/>
      <c r="Z129" s="928"/>
      <c r="AB129" s="929"/>
    </row>
    <row r="130" spans="2:28">
      <c r="B130" s="3"/>
      <c r="C130" s="13"/>
      <c r="D130" s="925"/>
      <c r="E130" s="926"/>
      <c r="F130" s="926"/>
      <c r="G130" s="926"/>
      <c r="H130" s="926"/>
      <c r="I130" s="926"/>
      <c r="J130" s="926"/>
      <c r="K130" s="926"/>
      <c r="L130" s="926"/>
      <c r="M130" s="926"/>
      <c r="N130" s="926"/>
      <c r="O130" s="925"/>
      <c r="P130" s="107"/>
      <c r="Q130" s="22"/>
      <c r="W130" s="927"/>
      <c r="X130" s="13"/>
      <c r="Y130" s="1"/>
      <c r="Z130" s="928"/>
      <c r="AB130" s="933"/>
    </row>
    <row r="131" spans="2:28">
      <c r="B131" s="3"/>
      <c r="C131" s="13"/>
      <c r="D131" s="925"/>
      <c r="E131" s="926"/>
      <c r="F131" s="926"/>
      <c r="G131" s="926"/>
      <c r="H131" s="926"/>
      <c r="I131" s="926"/>
      <c r="J131" s="926"/>
      <c r="K131" s="926"/>
      <c r="L131" s="926"/>
      <c r="M131" s="926"/>
      <c r="N131" s="926"/>
      <c r="O131" s="925"/>
      <c r="P131" s="107"/>
      <c r="Q131" s="22"/>
      <c r="W131" s="927"/>
      <c r="X131" s="13"/>
      <c r="Y131" s="1"/>
      <c r="Z131" s="928"/>
      <c r="AB131" s="931"/>
    </row>
    <row r="132" spans="2:28">
      <c r="B132" s="3"/>
      <c r="C132" s="13"/>
      <c r="D132" s="925"/>
      <c r="E132" s="926"/>
      <c r="F132" s="926"/>
      <c r="G132" s="9"/>
      <c r="H132" s="935"/>
      <c r="I132" s="940"/>
      <c r="J132" s="926"/>
      <c r="K132" s="926"/>
      <c r="L132" s="926"/>
      <c r="M132" s="926"/>
      <c r="N132" s="926"/>
      <c r="O132" s="934"/>
      <c r="P132" s="107"/>
      <c r="Q132" s="22"/>
      <c r="W132" s="927"/>
      <c r="X132" s="13"/>
      <c r="Y132" s="1"/>
      <c r="Z132" s="928"/>
      <c r="AB132" s="933"/>
    </row>
    <row r="133" spans="2:28">
      <c r="B133" s="3"/>
      <c r="C133" s="13"/>
      <c r="D133" s="925"/>
      <c r="E133" s="689"/>
      <c r="F133" s="926"/>
      <c r="G133" s="926"/>
      <c r="H133" s="926"/>
      <c r="I133" s="926"/>
      <c r="J133" s="926"/>
      <c r="K133" s="926"/>
      <c r="L133" s="926"/>
      <c r="M133" s="926"/>
      <c r="N133" s="926"/>
      <c r="O133" s="925"/>
      <c r="P133" s="107"/>
      <c r="Q133" s="22"/>
      <c r="W133" s="927"/>
      <c r="X133" s="13"/>
      <c r="Y133" s="1"/>
      <c r="Z133" s="928"/>
      <c r="AB133" s="929"/>
    </row>
    <row r="134" spans="2:28">
      <c r="B134" s="3"/>
      <c r="C134" s="13"/>
      <c r="D134" s="925"/>
      <c r="E134" s="689"/>
      <c r="F134" s="926"/>
      <c r="G134" s="926"/>
      <c r="H134" s="926"/>
      <c r="I134" s="926"/>
      <c r="J134" s="926"/>
      <c r="K134" s="926"/>
      <c r="L134" s="926"/>
      <c r="M134" s="926"/>
      <c r="N134" s="926"/>
      <c r="O134" s="925"/>
      <c r="P134" s="107"/>
      <c r="Q134" s="22"/>
      <c r="W134" s="927"/>
      <c r="X134" s="13"/>
      <c r="Y134" s="1"/>
      <c r="Z134" s="928"/>
      <c r="AB134" s="929"/>
    </row>
    <row r="135" spans="2:28">
      <c r="B135" s="3"/>
      <c r="C135" s="13"/>
      <c r="D135" s="925"/>
      <c r="E135" s="689"/>
      <c r="F135" s="926"/>
      <c r="G135" s="926"/>
      <c r="H135" s="926"/>
      <c r="I135" s="926"/>
      <c r="J135" s="926"/>
      <c r="K135" s="926"/>
      <c r="L135" s="926"/>
      <c r="M135" s="926"/>
      <c r="N135" s="926"/>
      <c r="O135" s="925"/>
      <c r="P135" s="107"/>
      <c r="Q135" s="22"/>
      <c r="W135" s="927"/>
      <c r="X135" s="13"/>
      <c r="Y135" s="1"/>
      <c r="Z135" s="928"/>
      <c r="AB135" s="929"/>
    </row>
    <row r="136" spans="2:28">
      <c r="B136" s="3"/>
      <c r="C136" s="13"/>
      <c r="D136" s="925"/>
      <c r="E136" s="689"/>
      <c r="F136" s="926"/>
      <c r="G136" s="926"/>
      <c r="H136" s="926"/>
      <c r="I136" s="926"/>
      <c r="J136" s="926"/>
      <c r="K136" s="926"/>
      <c r="L136" s="926"/>
      <c r="M136" s="926"/>
      <c r="N136" s="926"/>
      <c r="O136" s="925"/>
      <c r="P136" s="107"/>
      <c r="Q136" s="22"/>
      <c r="W136" s="927"/>
      <c r="X136" s="13"/>
      <c r="Y136" s="1"/>
      <c r="Z136" s="928"/>
      <c r="AB136" s="929"/>
    </row>
    <row r="137" spans="2:28">
      <c r="B137" s="3"/>
      <c r="C137" s="13"/>
      <c r="D137" s="925"/>
      <c r="E137" s="689"/>
      <c r="F137" s="926"/>
      <c r="G137" s="926"/>
      <c r="H137" s="926"/>
      <c r="I137" s="926"/>
      <c r="J137" s="926"/>
      <c r="K137" s="926"/>
      <c r="L137" s="926"/>
      <c r="M137" s="926"/>
      <c r="N137" s="926"/>
      <c r="O137" s="925"/>
      <c r="P137" s="107"/>
      <c r="Q137" s="22"/>
      <c r="W137" s="927"/>
      <c r="X137" s="13"/>
      <c r="Y137" s="1"/>
      <c r="Z137" s="928"/>
      <c r="AB137" s="929"/>
    </row>
    <row r="138" spans="2:28">
      <c r="B138" s="3"/>
      <c r="C138" s="13"/>
      <c r="D138" s="925"/>
      <c r="E138" s="689"/>
      <c r="F138" s="926"/>
      <c r="G138" s="926"/>
      <c r="H138" s="926"/>
      <c r="I138" s="926"/>
      <c r="J138" s="926"/>
      <c r="K138" s="926"/>
      <c r="L138" s="926"/>
      <c r="M138" s="926"/>
      <c r="N138" s="926"/>
      <c r="O138" s="925"/>
      <c r="P138" s="107"/>
      <c r="Q138" s="22"/>
      <c r="W138" s="927"/>
      <c r="X138" s="13"/>
      <c r="Y138" s="1"/>
      <c r="Z138" s="928"/>
      <c r="AB138" s="929"/>
    </row>
    <row r="139" spans="2:28" ht="13.5" customHeight="1">
      <c r="B139" s="3"/>
      <c r="C139" s="13"/>
      <c r="D139" s="925"/>
      <c r="E139" s="689"/>
      <c r="F139" s="926"/>
      <c r="G139" s="926"/>
      <c r="H139" s="926"/>
      <c r="I139" s="926"/>
      <c r="J139" s="926"/>
      <c r="K139" s="926"/>
      <c r="L139" s="926"/>
      <c r="M139" s="926"/>
      <c r="N139" s="926"/>
      <c r="O139" s="925"/>
      <c r="P139" s="107"/>
      <c r="Q139" s="22"/>
      <c r="W139" s="927"/>
      <c r="X139" s="13"/>
      <c r="Y139" s="1"/>
      <c r="Z139" s="928"/>
      <c r="AB139" s="929"/>
    </row>
    <row r="140" spans="2:28">
      <c r="B140" s="3"/>
      <c r="C140" s="13"/>
      <c r="D140" s="925"/>
      <c r="E140" s="689"/>
      <c r="F140" s="926"/>
      <c r="G140" s="926"/>
      <c r="H140" s="926"/>
      <c r="I140" s="926"/>
      <c r="J140" s="926"/>
      <c r="K140" s="926"/>
      <c r="L140" s="926"/>
      <c r="M140" s="926"/>
      <c r="N140" s="926"/>
      <c r="O140" s="925"/>
      <c r="P140" s="107"/>
      <c r="Q140" s="22"/>
      <c r="W140" s="927"/>
      <c r="X140" s="13"/>
      <c r="Y140" s="1"/>
      <c r="Z140" s="928"/>
      <c r="AB140" s="931"/>
    </row>
    <row r="141" spans="2:28" ht="12.75" customHeight="1">
      <c r="B141" s="3"/>
      <c r="C141" s="13"/>
      <c r="D141" s="925"/>
      <c r="E141" s="689"/>
      <c r="F141" s="935"/>
      <c r="G141" s="936"/>
      <c r="H141" s="926"/>
      <c r="I141" s="926"/>
      <c r="J141" s="926"/>
      <c r="K141" s="926"/>
      <c r="L141" s="935"/>
      <c r="M141" s="935"/>
      <c r="N141" s="926"/>
      <c r="O141" s="930"/>
      <c r="P141" s="107"/>
      <c r="Q141" s="22"/>
      <c r="W141" s="927"/>
      <c r="X141" s="13"/>
      <c r="Y141" s="1"/>
      <c r="Z141" s="928"/>
      <c r="AB141" s="937"/>
    </row>
    <row r="142" spans="2:28">
      <c r="B142" s="3"/>
      <c r="C142" s="13"/>
      <c r="D142" s="925"/>
      <c r="E142" s="689"/>
      <c r="F142" s="935"/>
      <c r="G142" s="936"/>
      <c r="H142" s="926"/>
      <c r="I142" s="926"/>
      <c r="J142" s="926"/>
      <c r="K142" s="926"/>
      <c r="L142" s="935"/>
      <c r="M142" s="935"/>
      <c r="N142" s="926"/>
      <c r="O142" s="925"/>
      <c r="P142" s="107"/>
      <c r="Q142" s="22"/>
      <c r="W142" s="927"/>
      <c r="X142" s="13"/>
      <c r="Y142" s="1"/>
      <c r="Z142" s="928"/>
      <c r="AB142" s="929"/>
    </row>
    <row r="143" spans="2:28" ht="12.75" customHeight="1">
      <c r="B143" s="3"/>
      <c r="C143" s="13"/>
      <c r="D143" s="925"/>
      <c r="E143" s="689"/>
      <c r="F143" s="935"/>
      <c r="G143" s="936"/>
      <c r="H143" s="926"/>
      <c r="I143" s="926"/>
      <c r="J143" s="926"/>
      <c r="K143" s="926"/>
      <c r="L143" s="935"/>
      <c r="M143" s="935"/>
      <c r="N143" s="926"/>
      <c r="O143" s="925"/>
      <c r="P143" s="107"/>
      <c r="Q143" s="22"/>
      <c r="W143" s="927"/>
      <c r="X143" s="13"/>
      <c r="Y143" s="1"/>
      <c r="Z143" s="928"/>
      <c r="AB143" s="929"/>
    </row>
    <row r="144" spans="2:28">
      <c r="B144" s="3"/>
      <c r="C144" s="13"/>
      <c r="D144" s="925"/>
      <c r="E144" s="949"/>
      <c r="F144" s="935"/>
      <c r="G144" s="936"/>
      <c r="H144" s="926"/>
      <c r="I144" s="947"/>
      <c r="J144" s="926"/>
      <c r="K144" s="947"/>
      <c r="L144" s="940"/>
      <c r="M144" s="940"/>
      <c r="N144" s="926"/>
      <c r="O144" s="925"/>
      <c r="P144" s="107"/>
      <c r="Q144" s="22"/>
      <c r="W144" s="927"/>
      <c r="X144" s="13"/>
      <c r="Y144" s="1"/>
      <c r="Z144" s="928"/>
      <c r="AB144" s="933"/>
    </row>
    <row r="145" spans="2:28">
      <c r="B145" s="3"/>
      <c r="C145" s="13"/>
      <c r="D145" s="925"/>
      <c r="E145" s="689"/>
      <c r="F145" s="940"/>
      <c r="G145" s="936"/>
      <c r="H145" s="926"/>
      <c r="I145" s="926"/>
      <c r="J145" s="926"/>
      <c r="K145" s="926"/>
      <c r="L145" s="940"/>
      <c r="M145" s="940"/>
      <c r="N145" s="926"/>
      <c r="O145" s="925"/>
      <c r="P145" s="107"/>
      <c r="Q145" s="22"/>
      <c r="W145" s="927"/>
      <c r="X145" s="13"/>
      <c r="Y145" s="1"/>
      <c r="Z145" s="928"/>
      <c r="AB145" s="929"/>
    </row>
    <row r="146" spans="2:28">
      <c r="B146" s="3"/>
      <c r="C146" s="13"/>
      <c r="D146" s="925"/>
      <c r="E146" s="689"/>
      <c r="F146" s="935"/>
      <c r="G146" s="936"/>
      <c r="H146" s="926"/>
      <c r="I146" s="926"/>
      <c r="J146" s="926"/>
      <c r="K146" s="926"/>
      <c r="L146" s="940"/>
      <c r="M146" s="935"/>
      <c r="N146" s="926"/>
      <c r="O146" s="925"/>
      <c r="P146" s="107"/>
      <c r="Q146" s="22"/>
      <c r="W146" s="927"/>
      <c r="X146" s="13"/>
      <c r="Y146" s="1"/>
      <c r="Z146" s="928"/>
      <c r="AB146" s="929"/>
    </row>
    <row r="147" spans="2:28">
      <c r="B147" s="3"/>
      <c r="C147" s="13"/>
      <c r="D147" s="925"/>
      <c r="E147" s="689"/>
      <c r="F147" s="940"/>
      <c r="G147" s="936"/>
      <c r="H147" s="926"/>
      <c r="I147" s="926"/>
      <c r="J147" s="926"/>
      <c r="K147" s="926"/>
      <c r="L147" s="936"/>
      <c r="M147" s="936"/>
      <c r="N147" s="9"/>
      <c r="O147" s="925"/>
      <c r="P147" s="107"/>
      <c r="Q147" s="22"/>
      <c r="W147" s="927"/>
      <c r="X147" s="13"/>
      <c r="Y147" s="1"/>
      <c r="Z147" s="928"/>
      <c r="AB147" s="929"/>
    </row>
    <row r="148" spans="2:28">
      <c r="B148" s="3"/>
      <c r="C148" s="13"/>
      <c r="D148" s="925"/>
      <c r="E148" s="689"/>
      <c r="F148" s="940"/>
      <c r="G148" s="940"/>
      <c r="H148" s="926"/>
      <c r="I148" s="926"/>
      <c r="J148" s="926"/>
      <c r="K148" s="935"/>
      <c r="L148" s="947"/>
      <c r="M148" s="940"/>
      <c r="N148" s="936"/>
      <c r="O148" s="925"/>
      <c r="P148" s="107"/>
      <c r="Q148" s="22"/>
      <c r="W148" s="927"/>
      <c r="X148" s="13"/>
      <c r="Y148" s="1"/>
      <c r="Z148" s="928"/>
      <c r="AB148" s="929"/>
    </row>
    <row r="149" spans="2:28" ht="10.5" customHeight="1">
      <c r="B149" s="3"/>
      <c r="C149" s="13"/>
      <c r="D149" s="925"/>
      <c r="E149" s="689"/>
      <c r="F149" s="935"/>
      <c r="G149" s="936"/>
      <c r="H149" s="926"/>
      <c r="I149" s="926"/>
      <c r="J149" s="926"/>
      <c r="K149" s="926"/>
      <c r="L149" s="935"/>
      <c r="M149" s="935"/>
      <c r="N149" s="926"/>
      <c r="O149" s="925"/>
      <c r="P149" s="107"/>
      <c r="Q149" s="22"/>
      <c r="W149" s="927"/>
      <c r="X149" s="13"/>
      <c r="Y149" s="1"/>
      <c r="Z149" s="928"/>
      <c r="AB149" s="929"/>
    </row>
    <row r="150" spans="2:28" ht="12.75" customHeight="1">
      <c r="B150" s="3"/>
      <c r="C150" s="13"/>
      <c r="D150" s="925"/>
      <c r="E150" s="689"/>
      <c r="F150" s="940"/>
      <c r="G150" s="936"/>
      <c r="H150" s="926"/>
      <c r="I150" s="926"/>
      <c r="J150" s="926"/>
      <c r="K150" s="926"/>
      <c r="L150" s="936"/>
      <c r="M150" s="936"/>
      <c r="N150" s="926"/>
      <c r="O150" s="925"/>
      <c r="P150" s="938"/>
      <c r="Q150" s="22"/>
      <c r="W150" s="927"/>
      <c r="X150" s="13"/>
      <c r="Y150" s="1"/>
      <c r="Z150" s="928"/>
      <c r="AB150" s="939"/>
    </row>
    <row r="151" spans="2:28">
      <c r="B151" s="3"/>
      <c r="C151" s="13"/>
      <c r="D151" s="925"/>
      <c r="E151" s="689"/>
      <c r="F151" s="935"/>
      <c r="G151" s="936"/>
      <c r="H151" s="926"/>
      <c r="I151" s="926"/>
      <c r="J151" s="926"/>
      <c r="K151" s="926"/>
      <c r="L151" s="936"/>
      <c r="M151" s="936"/>
      <c r="N151" s="926"/>
      <c r="O151" s="925"/>
      <c r="P151" s="107"/>
      <c r="Q151" s="22"/>
      <c r="W151" s="927"/>
      <c r="X151" s="13"/>
      <c r="Y151" s="1"/>
      <c r="Z151" s="928"/>
      <c r="AB151" s="929"/>
    </row>
    <row r="152" spans="2:28" ht="12.75" customHeight="1">
      <c r="B152" s="3"/>
      <c r="C152" s="13"/>
      <c r="D152" s="925"/>
      <c r="E152" s="689"/>
      <c r="F152" s="936"/>
      <c r="G152" s="940"/>
      <c r="H152" s="926"/>
      <c r="I152" s="926"/>
      <c r="J152" s="926"/>
      <c r="K152" s="926"/>
      <c r="L152" s="947"/>
      <c r="M152" s="940"/>
      <c r="N152" s="926"/>
      <c r="O152" s="925"/>
      <c r="P152" s="938"/>
      <c r="Q152" s="22"/>
      <c r="W152" s="927"/>
      <c r="X152" s="13"/>
      <c r="Y152" s="1"/>
      <c r="Z152" s="928"/>
      <c r="AB152" s="939"/>
    </row>
    <row r="153" spans="2:28" hidden="1">
      <c r="B153" s="3"/>
      <c r="C153" s="13"/>
      <c r="D153" s="925"/>
      <c r="E153" s="689"/>
      <c r="F153" s="940"/>
      <c r="G153" s="936"/>
      <c r="H153" s="926"/>
      <c r="I153" s="926"/>
      <c r="J153" s="926"/>
      <c r="K153" s="926"/>
      <c r="L153" s="935"/>
      <c r="M153" s="935"/>
      <c r="N153" s="926"/>
      <c r="O153" s="925"/>
      <c r="P153" s="107"/>
      <c r="Q153" s="22"/>
      <c r="W153" s="927"/>
      <c r="X153" s="13"/>
      <c r="Y153" s="1"/>
      <c r="Z153" s="928"/>
      <c r="AB153" s="933"/>
    </row>
    <row r="154" spans="2:28" ht="13.5" customHeight="1">
      <c r="B154" s="3"/>
      <c r="C154" s="4"/>
      <c r="D154" s="925"/>
      <c r="E154" s="689"/>
      <c r="F154" s="936"/>
      <c r="G154" s="936"/>
      <c r="H154" s="926"/>
      <c r="I154" s="926"/>
      <c r="J154" s="926"/>
      <c r="K154" s="926"/>
      <c r="L154" s="940"/>
      <c r="M154" s="940"/>
      <c r="N154" s="926"/>
      <c r="O154" s="925"/>
      <c r="P154" s="107"/>
      <c r="Q154" s="22"/>
      <c r="W154" s="927"/>
      <c r="X154" s="13"/>
      <c r="Y154" s="1"/>
      <c r="Z154" s="928"/>
      <c r="AB154" s="929"/>
    </row>
    <row r="155" spans="2:28" ht="12.75" customHeight="1">
      <c r="B155" s="3"/>
      <c r="C155" s="13"/>
      <c r="D155" s="925"/>
      <c r="E155" s="689"/>
      <c r="F155" s="935"/>
      <c r="G155" s="936"/>
      <c r="H155" s="947"/>
      <c r="I155" s="926"/>
      <c r="J155" s="926"/>
      <c r="K155" s="926"/>
      <c r="L155" s="935"/>
      <c r="M155" s="936"/>
      <c r="N155" s="926"/>
      <c r="O155" s="930"/>
      <c r="P155" s="938"/>
      <c r="Q155" s="22"/>
      <c r="W155" s="927"/>
      <c r="X155" s="13"/>
      <c r="Y155" s="1"/>
      <c r="Z155" s="928"/>
      <c r="AB155" s="939"/>
    </row>
    <row r="156" spans="2:28" ht="12.75" customHeight="1">
      <c r="B156" s="3"/>
      <c r="C156" s="13"/>
      <c r="D156" s="925"/>
      <c r="E156" s="689"/>
      <c r="F156" s="947"/>
      <c r="G156" s="947"/>
      <c r="H156" s="926"/>
      <c r="I156" s="926"/>
      <c r="J156" s="926"/>
      <c r="K156" s="926"/>
      <c r="L156" s="948"/>
      <c r="M156" s="947"/>
      <c r="N156" s="926"/>
      <c r="O156" s="930"/>
      <c r="P156" s="107"/>
      <c r="Q156" s="22"/>
      <c r="W156" s="927"/>
      <c r="X156" s="13"/>
      <c r="Y156" s="1"/>
      <c r="Z156" s="928"/>
      <c r="AB156" s="942"/>
    </row>
    <row r="157" spans="2:28" ht="12.75" customHeight="1">
      <c r="B157" s="3"/>
      <c r="C157" s="13"/>
      <c r="D157" s="925"/>
      <c r="E157" s="943"/>
      <c r="F157" s="151"/>
      <c r="G157" s="151"/>
      <c r="H157" s="151"/>
      <c r="I157" s="151"/>
      <c r="J157" s="151"/>
      <c r="K157" s="151"/>
      <c r="L157" s="151"/>
      <c r="M157" s="151"/>
      <c r="N157" s="151"/>
      <c r="O157" s="930"/>
      <c r="P157" s="107"/>
      <c r="Q157" s="22"/>
      <c r="W157" s="927"/>
      <c r="X157" s="13"/>
      <c r="Y157" s="1"/>
      <c r="Z157" s="928"/>
      <c r="AB157" s="929"/>
    </row>
    <row r="158" spans="2:28" ht="12.75" customHeight="1">
      <c r="B158" s="3"/>
      <c r="C158" s="13"/>
      <c r="D158" s="925"/>
      <c r="E158" s="943"/>
      <c r="F158" s="151"/>
      <c r="G158" s="151"/>
      <c r="H158" s="151"/>
      <c r="I158" s="151"/>
      <c r="J158" s="151"/>
      <c r="K158" s="151"/>
      <c r="L158" s="151"/>
      <c r="M158" s="151"/>
      <c r="N158" s="151"/>
      <c r="O158" s="930"/>
      <c r="P158" s="107"/>
      <c r="Q158" s="22"/>
      <c r="W158" s="927"/>
      <c r="X158" s="13"/>
      <c r="Y158" s="1"/>
      <c r="Z158" s="928"/>
      <c r="AB158" s="929"/>
    </row>
    <row r="159" spans="2:28" ht="11.25" customHeight="1">
      <c r="B159" s="3"/>
      <c r="C159" s="13"/>
      <c r="D159" s="925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930"/>
      <c r="P159" s="107"/>
      <c r="Q159" s="22"/>
      <c r="W159" s="927"/>
      <c r="X159" s="13"/>
      <c r="Y159" s="1"/>
      <c r="Z159" s="928"/>
      <c r="AB159" s="929"/>
    </row>
    <row r="160" spans="2:28" ht="12.75" customHeight="1">
      <c r="B160" s="3"/>
      <c r="C160" s="13"/>
      <c r="D160" s="925"/>
      <c r="E160" s="151"/>
      <c r="F160" s="151"/>
      <c r="G160" s="151"/>
      <c r="H160" s="151"/>
      <c r="I160" s="151"/>
      <c r="J160" s="151"/>
      <c r="K160" s="944"/>
      <c r="L160" s="151"/>
      <c r="M160" s="151"/>
      <c r="N160" s="151"/>
      <c r="O160" s="932"/>
      <c r="P160" s="107"/>
      <c r="Q160" s="22"/>
      <c r="W160" s="945"/>
      <c r="X160" s="13"/>
      <c r="Y160" s="946"/>
      <c r="Z160" s="928"/>
      <c r="AB160" s="929"/>
    </row>
    <row r="161" spans="2:28" ht="11.25" customHeight="1"/>
    <row r="162" spans="2:28" ht="12.75" customHeight="1">
      <c r="B162" s="94"/>
      <c r="D162" s="94"/>
    </row>
    <row r="163" spans="2:28">
      <c r="C163" s="13"/>
      <c r="D163" s="22"/>
      <c r="E163" s="14"/>
      <c r="F163" s="14"/>
      <c r="G163" s="14"/>
      <c r="H163" s="14"/>
      <c r="I163" s="14"/>
      <c r="J163" s="14"/>
      <c r="K163" s="14"/>
      <c r="L163" s="14"/>
      <c r="M163" s="13"/>
      <c r="N163" s="13"/>
      <c r="O163" s="9"/>
      <c r="P163" s="9"/>
      <c r="Q163" s="13"/>
      <c r="R163" s="22"/>
      <c r="T163" s="22"/>
      <c r="U163" s="13"/>
    </row>
    <row r="164" spans="2:28">
      <c r="C164" s="13"/>
      <c r="D164" s="9"/>
      <c r="E164" s="14"/>
      <c r="F164" s="14"/>
      <c r="G164" s="14"/>
      <c r="H164" s="14"/>
      <c r="I164" s="14"/>
      <c r="J164" s="14"/>
      <c r="K164" s="14"/>
      <c r="L164" s="14"/>
      <c r="M164" s="13"/>
      <c r="N164" s="13"/>
      <c r="O164" s="9"/>
      <c r="P164" s="9"/>
      <c r="Q164" s="13"/>
      <c r="R164" s="22"/>
      <c r="T164" s="22"/>
      <c r="U164" s="13"/>
    </row>
    <row r="165" spans="2:28">
      <c r="C165" s="22"/>
      <c r="D165" s="22"/>
      <c r="E165" s="14"/>
      <c r="F165" s="14"/>
      <c r="G165" s="14"/>
      <c r="H165" s="14"/>
      <c r="K165" s="14"/>
      <c r="L165" s="48"/>
      <c r="M165" s="13"/>
      <c r="N165" s="13"/>
      <c r="O165" s="9"/>
      <c r="P165" s="9"/>
      <c r="Q165" s="22"/>
      <c r="R165" s="22"/>
      <c r="T165" s="22"/>
      <c r="U165" s="13"/>
      <c r="AB165" s="922"/>
    </row>
    <row r="166" spans="2:28">
      <c r="C166" s="13"/>
      <c r="D166" s="13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9"/>
      <c r="P166" s="9"/>
      <c r="Q166" s="22"/>
      <c r="R166" s="22"/>
      <c r="T166" s="22"/>
      <c r="U166" s="13"/>
      <c r="Z166" s="150"/>
      <c r="AB166" s="922"/>
    </row>
    <row r="167" spans="2:28">
      <c r="C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9"/>
      <c r="P167" s="9"/>
      <c r="Q167" s="13"/>
      <c r="R167" s="22"/>
      <c r="T167" s="22"/>
      <c r="U167" s="13"/>
      <c r="Z167" s="150"/>
      <c r="AB167" s="923"/>
    </row>
    <row r="168" spans="2:28">
      <c r="C168" s="13"/>
      <c r="D168" s="14"/>
      <c r="E168" s="13"/>
      <c r="F168" s="13"/>
      <c r="G168" s="13"/>
      <c r="H168" s="13"/>
      <c r="I168" s="4"/>
      <c r="J168" s="13"/>
      <c r="K168" s="13"/>
      <c r="L168" s="13"/>
      <c r="M168" s="13"/>
      <c r="N168" s="4"/>
      <c r="O168" s="9"/>
      <c r="P168" s="9"/>
      <c r="Q168" s="14"/>
      <c r="R168" s="22"/>
      <c r="S168" s="13"/>
      <c r="T168" s="22"/>
      <c r="U168" s="13"/>
      <c r="W168" s="345"/>
      <c r="X168" s="22"/>
      <c r="Y168" s="3"/>
      <c r="Z168" s="924"/>
      <c r="AB168" s="923"/>
    </row>
    <row r="169" spans="2:28">
      <c r="B169" s="3"/>
      <c r="C169" s="13"/>
      <c r="D169" s="925"/>
      <c r="E169" s="940"/>
      <c r="F169" s="926"/>
      <c r="G169" s="926"/>
      <c r="H169" s="926"/>
      <c r="I169" s="926"/>
      <c r="J169" s="926"/>
      <c r="K169" s="926"/>
      <c r="L169" s="926"/>
      <c r="M169" s="926"/>
      <c r="N169" s="926"/>
      <c r="O169" s="925"/>
      <c r="P169" s="22"/>
      <c r="Q169" s="22"/>
      <c r="S169" s="64"/>
      <c r="W169" s="927"/>
      <c r="X169" s="13"/>
      <c r="Y169" s="1"/>
      <c r="Z169" s="928"/>
      <c r="AB169" s="929"/>
    </row>
    <row r="170" spans="2:28">
      <c r="B170" s="3"/>
      <c r="C170" s="13"/>
      <c r="D170" s="925"/>
      <c r="E170" s="940"/>
      <c r="F170" s="926"/>
      <c r="G170" s="926"/>
      <c r="H170" s="926"/>
      <c r="I170" s="926"/>
      <c r="J170" s="926"/>
      <c r="K170" s="926"/>
      <c r="L170" s="926"/>
      <c r="M170" s="926"/>
      <c r="N170" s="926"/>
      <c r="O170" s="930"/>
      <c r="P170" s="107"/>
      <c r="Q170" s="22"/>
      <c r="W170" s="927"/>
      <c r="X170" s="13"/>
      <c r="Y170" s="1"/>
      <c r="Z170" s="928"/>
      <c r="AB170" s="929"/>
    </row>
    <row r="171" spans="2:28" ht="12" customHeight="1">
      <c r="B171" s="3"/>
      <c r="C171" s="13"/>
      <c r="D171" s="925"/>
      <c r="E171" s="940"/>
      <c r="F171" s="926"/>
      <c r="G171" s="926"/>
      <c r="H171" s="940"/>
      <c r="I171" s="926"/>
      <c r="J171" s="926"/>
      <c r="K171" s="940"/>
      <c r="L171" s="926"/>
      <c r="M171" s="926"/>
      <c r="N171" s="926"/>
      <c r="O171" s="925"/>
      <c r="P171" s="107"/>
      <c r="Q171" s="22"/>
      <c r="W171" s="927"/>
      <c r="X171" s="13"/>
      <c r="Y171" s="1"/>
      <c r="Z171" s="928"/>
      <c r="AB171" s="931"/>
    </row>
    <row r="172" spans="2:28">
      <c r="B172" s="3"/>
      <c r="C172" s="13"/>
      <c r="D172" s="925"/>
      <c r="E172" s="940"/>
      <c r="F172" s="926"/>
      <c r="G172" s="926"/>
      <c r="H172" s="926"/>
      <c r="I172" s="926"/>
      <c r="J172" s="926"/>
      <c r="K172" s="926"/>
      <c r="L172" s="926"/>
      <c r="M172" s="926"/>
      <c r="N172" s="940"/>
      <c r="O172" s="932"/>
      <c r="P172" s="107"/>
      <c r="Q172" s="22"/>
      <c r="W172" s="927"/>
      <c r="X172" s="13"/>
      <c r="Y172" s="1"/>
      <c r="Z172" s="928"/>
      <c r="AB172" s="929"/>
    </row>
    <row r="173" spans="2:28" ht="12.75" customHeight="1">
      <c r="B173" s="3"/>
      <c r="C173" s="13"/>
      <c r="D173" s="925"/>
      <c r="E173" s="940"/>
      <c r="F173" s="926"/>
      <c r="G173" s="926"/>
      <c r="H173" s="926"/>
      <c r="I173" s="926"/>
      <c r="J173" s="926"/>
      <c r="K173" s="926"/>
      <c r="L173" s="926"/>
      <c r="M173" s="926"/>
      <c r="N173" s="926"/>
      <c r="O173" s="925"/>
      <c r="P173" s="107"/>
      <c r="Q173" s="22"/>
      <c r="W173" s="927"/>
      <c r="X173" s="13"/>
      <c r="Y173" s="1"/>
      <c r="Z173" s="928"/>
      <c r="AB173" s="933"/>
    </row>
    <row r="174" spans="2:28">
      <c r="B174" s="3"/>
      <c r="C174" s="13"/>
      <c r="D174" s="925"/>
      <c r="E174" s="940"/>
      <c r="F174" s="926"/>
      <c r="G174" s="926"/>
      <c r="H174" s="926"/>
      <c r="I174" s="926"/>
      <c r="J174" s="926"/>
      <c r="K174" s="926"/>
      <c r="L174" s="926"/>
      <c r="M174" s="926"/>
      <c r="N174" s="926"/>
      <c r="O174" s="925"/>
      <c r="P174" s="107"/>
      <c r="Q174" s="22"/>
      <c r="W174" s="927"/>
      <c r="X174" s="13"/>
      <c r="Y174" s="1"/>
      <c r="Z174" s="928"/>
      <c r="AB174" s="931"/>
    </row>
    <row r="175" spans="2:28" ht="15" customHeight="1">
      <c r="B175" s="3"/>
      <c r="C175" s="13"/>
      <c r="D175" s="925"/>
      <c r="E175" s="940"/>
      <c r="F175" s="926"/>
      <c r="G175" s="9"/>
      <c r="H175" s="935"/>
      <c r="I175" s="940"/>
      <c r="J175" s="926"/>
      <c r="K175" s="926"/>
      <c r="L175" s="926"/>
      <c r="M175" s="926"/>
      <c r="N175" s="926"/>
      <c r="O175" s="934"/>
      <c r="P175" s="107"/>
      <c r="Q175" s="22"/>
      <c r="W175" s="927"/>
      <c r="X175" s="13"/>
      <c r="Y175" s="1"/>
      <c r="Z175" s="928"/>
      <c r="AB175" s="933"/>
    </row>
    <row r="176" spans="2:28">
      <c r="B176" s="3"/>
      <c r="C176" s="13"/>
      <c r="D176" s="925"/>
      <c r="E176" s="940"/>
      <c r="F176" s="926"/>
      <c r="G176" s="926"/>
      <c r="H176" s="926"/>
      <c r="I176" s="926"/>
      <c r="J176" s="926"/>
      <c r="K176" s="926"/>
      <c r="L176" s="926"/>
      <c r="M176" s="926"/>
      <c r="N176" s="926"/>
      <c r="O176" s="925"/>
      <c r="P176" s="107"/>
      <c r="Q176" s="22"/>
      <c r="W176" s="927"/>
      <c r="X176" s="13"/>
      <c r="Y176" s="1"/>
      <c r="Z176" s="928"/>
      <c r="AB176" s="929"/>
    </row>
    <row r="177" spans="2:28">
      <c r="B177" s="3"/>
      <c r="C177" s="13"/>
      <c r="D177" s="925"/>
      <c r="E177" s="940"/>
      <c r="F177" s="926"/>
      <c r="G177" s="926"/>
      <c r="H177" s="926"/>
      <c r="I177" s="926"/>
      <c r="J177" s="926"/>
      <c r="K177" s="926"/>
      <c r="L177" s="926"/>
      <c r="M177" s="926"/>
      <c r="N177" s="926"/>
      <c r="O177" s="925"/>
      <c r="P177" s="107"/>
      <c r="Q177" s="22"/>
      <c r="W177" s="927"/>
      <c r="X177" s="13"/>
      <c r="Y177" s="1"/>
      <c r="Z177" s="928"/>
      <c r="AB177" s="929"/>
    </row>
    <row r="178" spans="2:28">
      <c r="B178" s="3"/>
      <c r="C178" s="13"/>
      <c r="D178" s="925"/>
      <c r="E178" s="940"/>
      <c r="F178" s="926"/>
      <c r="G178" s="926"/>
      <c r="H178" s="926"/>
      <c r="I178" s="926"/>
      <c r="J178" s="926"/>
      <c r="K178" s="926"/>
      <c r="L178" s="926"/>
      <c r="M178" s="926"/>
      <c r="N178" s="926"/>
      <c r="O178" s="925"/>
      <c r="P178" s="107"/>
      <c r="Q178" s="22"/>
      <c r="W178" s="927"/>
      <c r="X178" s="13"/>
      <c r="Y178" s="1"/>
      <c r="Z178" s="928"/>
      <c r="AB178" s="929"/>
    </row>
    <row r="179" spans="2:28">
      <c r="B179" s="3"/>
      <c r="C179" s="13"/>
      <c r="D179" s="925"/>
      <c r="E179" s="940"/>
      <c r="F179" s="926"/>
      <c r="G179" s="926"/>
      <c r="H179" s="926"/>
      <c r="I179" s="926"/>
      <c r="J179" s="926"/>
      <c r="K179" s="926"/>
      <c r="L179" s="926"/>
      <c r="M179" s="926"/>
      <c r="N179" s="926"/>
      <c r="O179" s="925"/>
      <c r="P179" s="107"/>
      <c r="Q179" s="22"/>
      <c r="W179" s="927"/>
      <c r="X179" s="13"/>
      <c r="Y179" s="1"/>
      <c r="Z179" s="928"/>
      <c r="AB179" s="929"/>
    </row>
    <row r="180" spans="2:28">
      <c r="B180" s="3"/>
      <c r="C180" s="13"/>
      <c r="D180" s="925"/>
      <c r="E180" s="940"/>
      <c r="F180" s="926"/>
      <c r="G180" s="926"/>
      <c r="H180" s="926"/>
      <c r="I180" s="926"/>
      <c r="J180" s="926"/>
      <c r="K180" s="926"/>
      <c r="L180" s="926"/>
      <c r="M180" s="926"/>
      <c r="N180" s="926"/>
      <c r="O180" s="925"/>
      <c r="P180" s="107"/>
      <c r="Q180" s="22"/>
      <c r="W180" s="927"/>
      <c r="X180" s="13"/>
      <c r="Y180" s="1"/>
      <c r="Z180" s="928"/>
      <c r="AB180" s="929"/>
    </row>
    <row r="181" spans="2:28">
      <c r="B181" s="3"/>
      <c r="C181" s="13"/>
      <c r="D181" s="925"/>
      <c r="E181" s="940"/>
      <c r="F181" s="926"/>
      <c r="G181" s="926"/>
      <c r="H181" s="926"/>
      <c r="I181" s="926"/>
      <c r="J181" s="926"/>
      <c r="K181" s="926"/>
      <c r="L181" s="926"/>
      <c r="M181" s="926"/>
      <c r="N181" s="926"/>
      <c r="O181" s="925"/>
      <c r="P181" s="107"/>
      <c r="Q181" s="22"/>
      <c r="W181" s="927"/>
      <c r="X181" s="13"/>
      <c r="Y181" s="1"/>
      <c r="Z181" s="928"/>
      <c r="AB181" s="929"/>
    </row>
    <row r="182" spans="2:28">
      <c r="B182" s="3"/>
      <c r="C182" s="13"/>
      <c r="D182" s="925"/>
      <c r="E182" s="940"/>
      <c r="F182" s="926"/>
      <c r="G182" s="926"/>
      <c r="H182" s="926"/>
      <c r="I182" s="926"/>
      <c r="J182" s="926"/>
      <c r="K182" s="926"/>
      <c r="L182" s="926"/>
      <c r="M182" s="926"/>
      <c r="N182" s="926"/>
      <c r="O182" s="925"/>
      <c r="P182" s="107"/>
      <c r="Q182" s="22"/>
      <c r="W182" s="927"/>
      <c r="X182" s="13"/>
      <c r="Y182" s="1"/>
      <c r="Z182" s="928"/>
      <c r="AB182" s="929"/>
    </row>
    <row r="183" spans="2:28" ht="13.5" customHeight="1">
      <c r="B183" s="3"/>
      <c r="C183" s="13"/>
      <c r="D183" s="925"/>
      <c r="E183" s="940"/>
      <c r="F183" s="926"/>
      <c r="G183" s="926"/>
      <c r="H183" s="926"/>
      <c r="I183" s="926"/>
      <c r="J183" s="926"/>
      <c r="K183" s="926"/>
      <c r="L183" s="926"/>
      <c r="M183" s="926"/>
      <c r="N183" s="926"/>
      <c r="O183" s="925"/>
      <c r="P183" s="107"/>
      <c r="Q183" s="22"/>
      <c r="W183" s="927"/>
      <c r="X183" s="13"/>
      <c r="Y183" s="1"/>
      <c r="Z183" s="928"/>
      <c r="AB183" s="931"/>
    </row>
    <row r="184" spans="2:28" ht="12" customHeight="1">
      <c r="B184" s="3"/>
      <c r="C184" s="13"/>
      <c r="D184" s="925"/>
      <c r="E184" s="943"/>
      <c r="F184" s="935"/>
      <c r="G184" s="936"/>
      <c r="H184" s="926"/>
      <c r="I184" s="926"/>
      <c r="J184" s="926"/>
      <c r="K184" s="926"/>
      <c r="L184" s="935"/>
      <c r="M184" s="935"/>
      <c r="N184" s="926"/>
      <c r="O184" s="930"/>
      <c r="P184" s="107"/>
      <c r="Q184" s="22"/>
      <c r="W184" s="927"/>
      <c r="X184" s="13"/>
      <c r="Y184" s="1"/>
      <c r="Z184" s="928"/>
      <c r="AB184" s="937"/>
    </row>
    <row r="185" spans="2:28">
      <c r="B185" s="3"/>
      <c r="C185" s="13"/>
      <c r="D185" s="925"/>
      <c r="E185" s="943"/>
      <c r="F185" s="935"/>
      <c r="G185" s="936"/>
      <c r="H185" s="926"/>
      <c r="I185" s="926"/>
      <c r="J185" s="926"/>
      <c r="K185" s="926"/>
      <c r="L185" s="935"/>
      <c r="M185" s="935"/>
      <c r="N185" s="926"/>
      <c r="O185" s="925"/>
      <c r="P185" s="107"/>
      <c r="Q185" s="22"/>
      <c r="W185" s="927"/>
      <c r="X185" s="13"/>
      <c r="Y185" s="1"/>
      <c r="Z185" s="928"/>
      <c r="AB185" s="929"/>
    </row>
    <row r="186" spans="2:28" ht="13.5" customHeight="1">
      <c r="B186" s="3"/>
      <c r="C186" s="13"/>
      <c r="D186" s="925"/>
      <c r="E186" s="943"/>
      <c r="F186" s="935"/>
      <c r="G186" s="936"/>
      <c r="H186" s="926"/>
      <c r="I186" s="926"/>
      <c r="J186" s="926"/>
      <c r="K186" s="926"/>
      <c r="L186" s="935"/>
      <c r="M186" s="935"/>
      <c r="N186" s="926"/>
      <c r="O186" s="925"/>
      <c r="P186" s="107"/>
      <c r="Q186" s="22"/>
      <c r="W186" s="927"/>
      <c r="X186" s="13"/>
      <c r="Y186" s="1"/>
      <c r="Z186" s="928"/>
      <c r="AB186" s="929"/>
    </row>
    <row r="187" spans="2:28">
      <c r="B187" s="3"/>
      <c r="C187" s="13"/>
      <c r="D187" s="925"/>
      <c r="E187" s="943"/>
      <c r="F187" s="935"/>
      <c r="G187" s="936"/>
      <c r="H187" s="926"/>
      <c r="I187" s="947"/>
      <c r="J187" s="926"/>
      <c r="K187" s="947"/>
      <c r="L187" s="940"/>
      <c r="M187" s="940"/>
      <c r="N187" s="926"/>
      <c r="O187" s="925"/>
      <c r="P187" s="107"/>
      <c r="Q187" s="22"/>
      <c r="W187" s="927"/>
      <c r="X187" s="13"/>
      <c r="Y187" s="1"/>
      <c r="Z187" s="928"/>
      <c r="AB187" s="933"/>
    </row>
    <row r="188" spans="2:28">
      <c r="B188" s="3"/>
      <c r="C188" s="13"/>
      <c r="D188" s="925"/>
      <c r="E188" s="943"/>
      <c r="F188" s="940"/>
      <c r="G188" s="936"/>
      <c r="H188" s="926"/>
      <c r="I188" s="926"/>
      <c r="J188" s="926"/>
      <c r="K188" s="926"/>
      <c r="L188" s="940"/>
      <c r="M188" s="940"/>
      <c r="N188" s="926"/>
      <c r="O188" s="925"/>
      <c r="P188" s="107"/>
      <c r="Q188" s="22"/>
      <c r="W188" s="927"/>
      <c r="X188" s="13"/>
      <c r="Y188" s="1"/>
      <c r="Z188" s="928"/>
      <c r="AB188" s="929"/>
    </row>
    <row r="189" spans="2:28" ht="12" customHeight="1">
      <c r="B189" s="3"/>
      <c r="C189" s="13"/>
      <c r="D189" s="925"/>
      <c r="E189" s="943"/>
      <c r="F189" s="935"/>
      <c r="G189" s="936"/>
      <c r="H189" s="926"/>
      <c r="I189" s="926"/>
      <c r="J189" s="926"/>
      <c r="K189" s="926"/>
      <c r="L189" s="940"/>
      <c r="M189" s="935"/>
      <c r="N189" s="926"/>
      <c r="O189" s="925"/>
      <c r="P189" s="107"/>
      <c r="Q189" s="22"/>
      <c r="W189" s="927"/>
      <c r="X189" s="13"/>
      <c r="Y189" s="1"/>
      <c r="Z189" s="928"/>
      <c r="AB189" s="929"/>
    </row>
    <row r="190" spans="2:28" ht="12.75" customHeight="1">
      <c r="B190" s="3"/>
      <c r="C190" s="13"/>
      <c r="D190" s="925"/>
      <c r="E190" s="943"/>
      <c r="F190" s="940"/>
      <c r="G190" s="936"/>
      <c r="H190" s="926"/>
      <c r="I190" s="926"/>
      <c r="J190" s="926"/>
      <c r="K190" s="926"/>
      <c r="L190" s="936"/>
      <c r="M190" s="936"/>
      <c r="N190" s="9"/>
      <c r="O190" s="925"/>
      <c r="P190" s="107"/>
      <c r="Q190" s="22"/>
      <c r="W190" s="927"/>
      <c r="X190" s="13"/>
      <c r="Y190" s="1"/>
      <c r="Z190" s="928"/>
      <c r="AB190" s="929"/>
    </row>
    <row r="191" spans="2:28" ht="11.25" customHeight="1">
      <c r="B191" s="3"/>
      <c r="C191" s="13"/>
      <c r="D191" s="925"/>
      <c r="E191" s="943"/>
      <c r="F191" s="940"/>
      <c r="G191" s="940"/>
      <c r="H191" s="926"/>
      <c r="I191" s="926"/>
      <c r="J191" s="926"/>
      <c r="K191" s="935"/>
      <c r="L191" s="947"/>
      <c r="M191" s="940"/>
      <c r="N191" s="936"/>
      <c r="O191" s="925"/>
      <c r="P191" s="107"/>
      <c r="Q191" s="22"/>
      <c r="W191" s="927"/>
      <c r="X191" s="13"/>
      <c r="Y191" s="1"/>
      <c r="Z191" s="928"/>
      <c r="AB191" s="929"/>
    </row>
    <row r="192" spans="2:28" ht="12" customHeight="1">
      <c r="B192" s="3"/>
      <c r="C192" s="13"/>
      <c r="D192" s="925"/>
      <c r="E192" s="943"/>
      <c r="F192" s="935"/>
      <c r="G192" s="936"/>
      <c r="H192" s="926"/>
      <c r="I192" s="926"/>
      <c r="J192" s="926"/>
      <c r="K192" s="926"/>
      <c r="L192" s="935"/>
      <c r="M192" s="935"/>
      <c r="N192" s="926"/>
      <c r="O192" s="925"/>
      <c r="P192" s="107"/>
      <c r="Q192" s="22"/>
      <c r="W192" s="927"/>
      <c r="X192" s="13"/>
      <c r="Y192" s="1"/>
      <c r="Z192" s="928"/>
      <c r="AB192" s="929"/>
    </row>
    <row r="193" spans="2:28">
      <c r="B193" s="3"/>
      <c r="C193" s="13"/>
      <c r="D193" s="925"/>
      <c r="E193" s="943"/>
      <c r="F193" s="940"/>
      <c r="G193" s="936"/>
      <c r="H193" s="926"/>
      <c r="I193" s="926"/>
      <c r="J193" s="926"/>
      <c r="K193" s="926"/>
      <c r="L193" s="936"/>
      <c r="M193" s="936"/>
      <c r="N193" s="926"/>
      <c r="O193" s="925"/>
      <c r="P193" s="938"/>
      <c r="Q193" s="22"/>
      <c r="W193" s="927"/>
      <c r="X193" s="13"/>
      <c r="Y193" s="1"/>
      <c r="Z193" s="928"/>
      <c r="AB193" s="939"/>
    </row>
    <row r="194" spans="2:28" ht="13.5" customHeight="1">
      <c r="B194" s="3"/>
      <c r="C194" s="13"/>
      <c r="D194" s="925"/>
      <c r="E194" s="943"/>
      <c r="F194" s="935"/>
      <c r="G194" s="936"/>
      <c r="H194" s="926"/>
      <c r="I194" s="926"/>
      <c r="J194" s="926"/>
      <c r="K194" s="926"/>
      <c r="L194" s="936"/>
      <c r="M194" s="936"/>
      <c r="N194" s="926"/>
      <c r="O194" s="925"/>
      <c r="P194" s="107"/>
      <c r="Q194" s="22"/>
      <c r="W194" s="927"/>
      <c r="X194" s="13"/>
      <c r="Y194" s="1"/>
      <c r="Z194" s="928"/>
      <c r="AB194" s="929"/>
    </row>
    <row r="195" spans="2:28" ht="13.5" customHeight="1">
      <c r="B195" s="3"/>
      <c r="C195" s="13"/>
      <c r="D195" s="925"/>
      <c r="E195" s="943"/>
      <c r="F195" s="936"/>
      <c r="G195" s="940"/>
      <c r="H195" s="926"/>
      <c r="I195" s="926"/>
      <c r="J195" s="926"/>
      <c r="K195" s="926"/>
      <c r="L195" s="947"/>
      <c r="M195" s="940"/>
      <c r="N195" s="926"/>
      <c r="O195" s="925"/>
      <c r="P195" s="938"/>
      <c r="Q195" s="22"/>
      <c r="W195" s="927"/>
      <c r="X195" s="13"/>
      <c r="Y195" s="1"/>
      <c r="Z195" s="928"/>
      <c r="AB195" s="939"/>
    </row>
    <row r="196" spans="2:28" hidden="1">
      <c r="B196" s="3"/>
      <c r="C196" s="13"/>
      <c r="D196" s="925"/>
      <c r="E196" s="943"/>
      <c r="F196" s="940"/>
      <c r="G196" s="936"/>
      <c r="H196" s="926"/>
      <c r="I196" s="926"/>
      <c r="J196" s="926"/>
      <c r="K196" s="926"/>
      <c r="L196" s="935"/>
      <c r="M196" s="935"/>
      <c r="N196" s="926"/>
      <c r="O196" s="925"/>
      <c r="P196" s="107"/>
      <c r="Q196" s="22"/>
      <c r="W196" s="927"/>
      <c r="X196" s="13"/>
      <c r="Y196" s="1"/>
      <c r="Z196" s="928"/>
      <c r="AB196" s="933"/>
    </row>
    <row r="197" spans="2:28" ht="13.5" customHeight="1">
      <c r="B197" s="3"/>
      <c r="C197" s="4"/>
      <c r="D197" s="925"/>
      <c r="E197" s="943"/>
      <c r="F197" s="936"/>
      <c r="G197" s="936"/>
      <c r="H197" s="926"/>
      <c r="I197" s="926"/>
      <c r="J197" s="926"/>
      <c r="K197" s="926"/>
      <c r="L197" s="940"/>
      <c r="M197" s="940"/>
      <c r="N197" s="926"/>
      <c r="O197" s="925"/>
      <c r="P197" s="107"/>
      <c r="Q197" s="22"/>
      <c r="W197" s="927"/>
      <c r="X197" s="13"/>
      <c r="Y197" s="1"/>
      <c r="Z197" s="928"/>
      <c r="AB197" s="929"/>
    </row>
    <row r="198" spans="2:28" ht="12" customHeight="1">
      <c r="B198" s="3"/>
      <c r="C198" s="13"/>
      <c r="D198" s="925"/>
      <c r="E198" s="943"/>
      <c r="F198" s="935"/>
      <c r="G198" s="936"/>
      <c r="H198" s="947"/>
      <c r="I198" s="926"/>
      <c r="J198" s="926"/>
      <c r="K198" s="926"/>
      <c r="L198" s="935"/>
      <c r="M198" s="936"/>
      <c r="N198" s="926"/>
      <c r="O198" s="930"/>
      <c r="P198" s="938"/>
      <c r="Q198" s="22"/>
      <c r="W198" s="927"/>
      <c r="X198" s="13"/>
      <c r="Y198" s="1"/>
      <c r="Z198" s="928"/>
      <c r="AB198" s="939"/>
    </row>
    <row r="199" spans="2:28" ht="13.5" customHeight="1">
      <c r="B199" s="3"/>
      <c r="C199" s="13"/>
      <c r="D199" s="925"/>
      <c r="E199" s="943"/>
      <c r="F199" s="947"/>
      <c r="G199" s="947"/>
      <c r="H199" s="926"/>
      <c r="I199" s="926"/>
      <c r="J199" s="926"/>
      <c r="K199" s="926"/>
      <c r="L199" s="948"/>
      <c r="M199" s="947"/>
      <c r="N199" s="926"/>
      <c r="O199" s="930"/>
      <c r="P199" s="107"/>
      <c r="Q199" s="22"/>
      <c r="W199" s="927"/>
      <c r="X199" s="13"/>
      <c r="Y199" s="1"/>
      <c r="Z199" s="928"/>
      <c r="AB199" s="942"/>
    </row>
    <row r="200" spans="2:28">
      <c r="B200" s="3"/>
      <c r="C200" s="13"/>
      <c r="D200" s="925"/>
      <c r="E200" s="943"/>
      <c r="F200" s="151"/>
      <c r="G200" s="151"/>
      <c r="H200" s="151"/>
      <c r="I200" s="151"/>
      <c r="J200" s="151"/>
      <c r="K200" s="151"/>
      <c r="L200" s="151"/>
      <c r="M200" s="151"/>
      <c r="N200" s="151"/>
      <c r="O200" s="930"/>
      <c r="P200" s="107"/>
      <c r="Q200" s="22"/>
      <c r="W200" s="927"/>
      <c r="X200" s="13"/>
      <c r="Y200" s="1"/>
      <c r="Z200" s="928"/>
      <c r="AB200" s="929"/>
    </row>
    <row r="201" spans="2:28" ht="12.75" customHeight="1">
      <c r="B201" s="3"/>
      <c r="C201" s="13"/>
      <c r="D201" s="925"/>
      <c r="E201" s="943"/>
      <c r="F201" s="151"/>
      <c r="G201" s="151"/>
      <c r="H201" s="151"/>
      <c r="I201" s="151"/>
      <c r="J201" s="151"/>
      <c r="K201" s="151"/>
      <c r="L201" s="151"/>
      <c r="M201" s="151"/>
      <c r="N201" s="151"/>
      <c r="O201" s="930"/>
      <c r="P201" s="107"/>
      <c r="Q201" s="22"/>
      <c r="W201" s="927"/>
      <c r="X201" s="13"/>
      <c r="Y201" s="1"/>
      <c r="Z201" s="928"/>
      <c r="AB201" s="929"/>
    </row>
    <row r="202" spans="2:28" ht="12" customHeight="1">
      <c r="B202" s="3"/>
      <c r="C202" s="13"/>
      <c r="D202" s="925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930"/>
      <c r="P202" s="107"/>
      <c r="Q202" s="22"/>
      <c r="W202" s="927"/>
      <c r="X202" s="13"/>
      <c r="Y202" s="1"/>
      <c r="Z202" s="928"/>
      <c r="AB202" s="929"/>
    </row>
    <row r="203" spans="2:28" ht="12.75" customHeight="1">
      <c r="B203" s="3"/>
      <c r="C203" s="13"/>
      <c r="D203" s="925"/>
      <c r="E203" s="151"/>
      <c r="F203" s="151"/>
      <c r="G203" s="151"/>
      <c r="H203" s="151"/>
      <c r="I203" s="151"/>
      <c r="J203" s="151"/>
      <c r="K203" s="944"/>
      <c r="L203" s="151"/>
      <c r="M203" s="151"/>
      <c r="N203" s="151"/>
      <c r="O203" s="932"/>
      <c r="P203" s="107"/>
      <c r="Q203" s="22"/>
      <c r="W203" s="945"/>
      <c r="X203" s="13"/>
      <c r="Y203" s="946"/>
      <c r="Z203" s="928"/>
      <c r="AB203" s="929"/>
    </row>
  </sheetData>
  <pageMargins left="0.118055555555556" right="0.118055555555556" top="0.15763888888888899" bottom="0.15763888888888899" header="0.51180555555555496" footer="0.51180555555555496"/>
  <pageSetup paperSize="9"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5BB4-BC8A-4A2F-8FFB-B78A2C536EAE}">
  <sheetPr>
    <pageSetUpPr fitToPage="1"/>
  </sheetPr>
  <dimension ref="B1:AI204"/>
  <sheetViews>
    <sheetView topLeftCell="A19" zoomScaleNormal="100" workbookViewId="0">
      <pane xSplit="1" topLeftCell="B1" activePane="topRight" state="frozen"/>
      <selection pane="topRight" sqref="A1:T51"/>
    </sheetView>
  </sheetViews>
  <sheetFormatPr defaultRowHeight="15"/>
  <cols>
    <col min="1" max="1" width="1.85546875" customWidth="1"/>
    <col min="2" max="2" width="4" customWidth="1"/>
    <col min="3" max="3" width="30.28515625" customWidth="1"/>
    <col min="4" max="4" width="8.7109375" customWidth="1"/>
    <col min="5" max="5" width="7.28515625" customWidth="1"/>
    <col min="6" max="6" width="6.85546875" customWidth="1"/>
    <col min="7" max="7" width="6.7109375" customWidth="1"/>
    <col min="8" max="8" width="7.140625" customWidth="1"/>
    <col min="9" max="9" width="6.85546875" customWidth="1"/>
    <col min="10" max="10" width="7.28515625" customWidth="1"/>
    <col min="11" max="11" width="6.5703125" customWidth="1"/>
    <col min="12" max="12" width="6.7109375" customWidth="1"/>
    <col min="13" max="13" width="7" customWidth="1"/>
    <col min="14" max="14" width="6.7109375" customWidth="1"/>
    <col min="15" max="15" width="7.42578125" customWidth="1"/>
    <col min="16" max="16" width="7.28515625" customWidth="1"/>
    <col min="17" max="17" width="7.7109375" customWidth="1"/>
    <col min="18" max="18" width="6.42578125" customWidth="1"/>
    <col min="19" max="19" width="6.28515625" customWidth="1"/>
    <col min="20" max="20" width="7" customWidth="1"/>
    <col min="21" max="21" width="16.85546875" customWidth="1"/>
    <col min="23" max="23" width="7.7109375" customWidth="1"/>
    <col min="24" max="24" width="8.7109375" customWidth="1"/>
    <col min="25" max="25" width="8.140625" customWidth="1"/>
    <col min="26" max="26" width="11.5703125" customWidth="1"/>
    <col min="28" max="28" width="9.85546875" customWidth="1"/>
    <col min="29" max="29" width="8.42578125" customWidth="1"/>
    <col min="30" max="30" width="10.7109375" customWidth="1"/>
    <col min="31" max="31" width="1" customWidth="1"/>
    <col min="32" max="32" width="15.28515625" customWidth="1"/>
    <col min="33" max="33" width="15.85546875" customWidth="1"/>
  </cols>
  <sheetData>
    <row r="1" spans="2:35" ht="10.5" customHeight="1"/>
    <row r="2" spans="2:35" ht="15.75" thickBot="1">
      <c r="B2" s="143" t="s">
        <v>514</v>
      </c>
      <c r="D2" s="94" t="s">
        <v>27</v>
      </c>
      <c r="J2" t="s">
        <v>439</v>
      </c>
    </row>
    <row r="3" spans="2:35" ht="12.75" customHeight="1">
      <c r="B3" s="88"/>
      <c r="C3" s="634"/>
      <c r="D3" s="27" t="s">
        <v>28</v>
      </c>
      <c r="E3" s="603" t="s">
        <v>353</v>
      </c>
      <c r="F3" s="67"/>
      <c r="G3" s="67"/>
      <c r="H3" s="67"/>
      <c r="I3" s="67"/>
      <c r="J3" s="67"/>
      <c r="K3" s="67"/>
      <c r="L3" s="67"/>
      <c r="M3" s="51"/>
      <c r="N3" s="51"/>
      <c r="O3" s="68"/>
      <c r="P3" s="68"/>
      <c r="Q3" s="173" t="s">
        <v>29</v>
      </c>
      <c r="R3" s="173" t="s">
        <v>30</v>
      </c>
      <c r="S3" s="2236" t="s">
        <v>933</v>
      </c>
      <c r="T3" s="2236" t="s">
        <v>933</v>
      </c>
      <c r="V3" s="22"/>
      <c r="W3" s="13"/>
    </row>
    <row r="4" spans="2:35" ht="12" customHeight="1">
      <c r="B4" s="61"/>
      <c r="C4" s="635"/>
      <c r="D4" s="636" t="s">
        <v>287</v>
      </c>
      <c r="E4" s="1122" t="s">
        <v>391</v>
      </c>
      <c r="F4" s="14"/>
      <c r="G4" s="14"/>
      <c r="H4" s="14"/>
      <c r="I4" s="14"/>
      <c r="J4" s="14"/>
      <c r="K4" s="14"/>
      <c r="L4" s="14"/>
      <c r="M4" s="13"/>
      <c r="N4" s="13"/>
      <c r="Q4" s="1517" t="s">
        <v>303</v>
      </c>
      <c r="R4" s="636" t="s">
        <v>31</v>
      </c>
      <c r="S4" s="2237" t="s">
        <v>129</v>
      </c>
      <c r="T4" s="2237" t="s">
        <v>129</v>
      </c>
      <c r="V4" s="22"/>
      <c r="W4" s="13"/>
    </row>
    <row r="5" spans="2:35" ht="12.75" customHeight="1" thickBot="1">
      <c r="B5" s="61"/>
      <c r="C5" s="637" t="s">
        <v>32</v>
      </c>
      <c r="D5" s="70" t="s">
        <v>29</v>
      </c>
      <c r="E5" s="1123" t="s">
        <v>302</v>
      </c>
      <c r="F5" s="72"/>
      <c r="G5" s="72"/>
      <c r="H5" s="72"/>
      <c r="I5" s="29" t="s">
        <v>931</v>
      </c>
      <c r="J5" s="29"/>
      <c r="K5" s="72"/>
      <c r="L5" s="872" t="s">
        <v>145</v>
      </c>
      <c r="M5" s="52"/>
      <c r="N5" s="52"/>
      <c r="O5" s="29"/>
      <c r="P5" s="29"/>
      <c r="Q5" s="636" t="s">
        <v>34</v>
      </c>
      <c r="R5" s="636" t="s">
        <v>33</v>
      </c>
      <c r="S5" s="2238" t="s">
        <v>934</v>
      </c>
      <c r="T5" s="2237" t="s">
        <v>934</v>
      </c>
      <c r="U5" s="62"/>
      <c r="V5" s="22"/>
      <c r="W5" s="13"/>
      <c r="AD5" s="922"/>
    </row>
    <row r="6" spans="2:35" ht="12.75" customHeight="1">
      <c r="B6" s="61" t="s">
        <v>288</v>
      </c>
      <c r="C6" s="635"/>
      <c r="D6" s="69" t="s">
        <v>46</v>
      </c>
      <c r="E6" s="27" t="s">
        <v>35</v>
      </c>
      <c r="F6" s="27" t="s">
        <v>36</v>
      </c>
      <c r="G6" s="27" t="s">
        <v>37</v>
      </c>
      <c r="H6" s="27" t="s">
        <v>38</v>
      </c>
      <c r="I6" s="26" t="s">
        <v>39</v>
      </c>
      <c r="J6" s="27" t="s">
        <v>40</v>
      </c>
      <c r="K6" s="26" t="s">
        <v>41</v>
      </c>
      <c r="L6" s="27" t="s">
        <v>42</v>
      </c>
      <c r="M6" s="26" t="s">
        <v>43</v>
      </c>
      <c r="N6" s="1101" t="s">
        <v>44</v>
      </c>
      <c r="O6" s="27" t="s">
        <v>549</v>
      </c>
      <c r="P6" s="1101" t="s">
        <v>550</v>
      </c>
      <c r="Q6" s="636">
        <v>12</v>
      </c>
      <c r="R6" s="636" t="s">
        <v>45</v>
      </c>
      <c r="S6" s="636" t="s">
        <v>34</v>
      </c>
      <c r="T6" s="1517" t="s">
        <v>935</v>
      </c>
      <c r="V6" s="22"/>
      <c r="W6" s="13"/>
      <c r="AB6" s="150"/>
      <c r="AD6" s="922"/>
    </row>
    <row r="7" spans="2:35" ht="11.25" customHeight="1">
      <c r="B7" s="61"/>
      <c r="C7" s="637" t="s">
        <v>289</v>
      </c>
      <c r="E7" s="70" t="s">
        <v>47</v>
      </c>
      <c r="F7" s="70" t="s">
        <v>47</v>
      </c>
      <c r="G7" s="70" t="s">
        <v>47</v>
      </c>
      <c r="H7" s="70" t="s">
        <v>47</v>
      </c>
      <c r="I7" s="22" t="s">
        <v>47</v>
      </c>
      <c r="J7" s="70" t="s">
        <v>47</v>
      </c>
      <c r="K7" s="70" t="s">
        <v>47</v>
      </c>
      <c r="L7" s="22" t="s">
        <v>47</v>
      </c>
      <c r="M7" s="70" t="s">
        <v>47</v>
      </c>
      <c r="N7" s="607" t="s">
        <v>47</v>
      </c>
      <c r="O7" s="70" t="s">
        <v>47</v>
      </c>
      <c r="P7" s="607" t="s">
        <v>47</v>
      </c>
      <c r="Q7" s="636" t="s">
        <v>936</v>
      </c>
      <c r="R7" s="636" t="s">
        <v>279</v>
      </c>
      <c r="S7" s="636" t="s">
        <v>937</v>
      </c>
      <c r="T7" s="1517"/>
      <c r="U7" s="62"/>
      <c r="V7" s="22"/>
      <c r="W7" s="13"/>
      <c r="AB7" s="150"/>
      <c r="AD7" s="923"/>
    </row>
    <row r="8" spans="2:35" ht="11.25" customHeight="1" thickBot="1">
      <c r="B8" s="61"/>
      <c r="C8" s="638"/>
      <c r="D8" s="73" t="s">
        <v>290</v>
      </c>
      <c r="E8" s="52"/>
      <c r="F8" s="53"/>
      <c r="G8" s="52"/>
      <c r="H8" s="53"/>
      <c r="I8" s="106"/>
      <c r="J8" s="53"/>
      <c r="K8" s="53"/>
      <c r="L8" s="52"/>
      <c r="M8" s="53"/>
      <c r="N8" s="106"/>
      <c r="O8" s="985"/>
      <c r="P8" s="647"/>
      <c r="Q8" s="636"/>
      <c r="R8" s="636" t="s">
        <v>280</v>
      </c>
      <c r="S8" s="2239">
        <v>0.35</v>
      </c>
      <c r="T8" s="2240">
        <v>1</v>
      </c>
      <c r="U8" s="3"/>
      <c r="V8" s="22"/>
      <c r="W8" s="13"/>
      <c r="Y8" s="345"/>
      <c r="Z8" s="22"/>
      <c r="AA8" s="3"/>
      <c r="AB8" s="924"/>
      <c r="AD8" s="923"/>
    </row>
    <row r="9" spans="2:35">
      <c r="B9" s="639">
        <v>1</v>
      </c>
      <c r="C9" s="640" t="s">
        <v>291</v>
      </c>
      <c r="D9" s="1110">
        <v>42</v>
      </c>
      <c r="E9" s="1113">
        <f>'12-18л. РАСКЛАДКА'!S11</f>
        <v>40</v>
      </c>
      <c r="F9" s="1107">
        <f>'12-18л. РАСКЛАДКА'!S70</f>
        <v>50</v>
      </c>
      <c r="G9" s="1107">
        <f>'12-18л. РАСКЛАДКА'!S132</f>
        <v>40</v>
      </c>
      <c r="H9" s="1107">
        <f>'12-18л. РАСКЛАДКА'!S189</f>
        <v>50</v>
      </c>
      <c r="I9" s="1107">
        <f>'12-18л. РАСКЛАДКА'!S245</f>
        <v>40</v>
      </c>
      <c r="J9" s="1177">
        <f>'12-18л. РАСКЛАДКА'!S300</f>
        <v>44</v>
      </c>
      <c r="K9" s="1107">
        <f>'12-18л. РАСКЛАДКА'!S354</f>
        <v>40</v>
      </c>
      <c r="L9" s="1107">
        <f>'12-18л. РАСКЛАДКА'!S405</f>
        <v>50</v>
      </c>
      <c r="M9" s="1107">
        <f>'12-18л. РАСКЛАДКА'!S458</f>
        <v>40</v>
      </c>
      <c r="N9" s="1107">
        <f>'12-18л. РАСКЛАДКА'!S513</f>
        <v>30</v>
      </c>
      <c r="O9" s="1107">
        <f>'12-18л. РАСКЛАДКА'!S567</f>
        <v>40</v>
      </c>
      <c r="P9" s="2215">
        <f>'12-18л. РАСКЛАДКА'!S623</f>
        <v>40</v>
      </c>
      <c r="Q9" s="2250">
        <f>E9+F9+G9+H9+I9+J9+K9+L9+M9+N9+O9+P9</f>
        <v>504</v>
      </c>
      <c r="R9" s="2614">
        <f>(Q9*100/S9)-100</f>
        <v>0</v>
      </c>
      <c r="S9" s="2241">
        <f>(T9*35/100)*12</f>
        <v>504</v>
      </c>
      <c r="T9" s="2242">
        <v>120</v>
      </c>
      <c r="U9" s="3"/>
      <c r="Y9" s="927"/>
      <c r="Z9" s="13"/>
      <c r="AA9" s="1"/>
      <c r="AB9" s="928"/>
      <c r="AD9" s="2209"/>
    </row>
    <row r="10" spans="2:35">
      <c r="B10" s="596">
        <v>2</v>
      </c>
      <c r="C10" s="238" t="s">
        <v>48</v>
      </c>
      <c r="D10" s="1111">
        <v>70</v>
      </c>
      <c r="E10" s="1114">
        <f>'12-18л. РАСКЛАДКА'!S12</f>
        <v>70</v>
      </c>
      <c r="F10" s="950">
        <f>'12-18л. РАСКЛАДКА'!S71</f>
        <v>70</v>
      </c>
      <c r="G10" s="950">
        <f>'12-18л. РАСКЛАДКА'!S133</f>
        <v>60</v>
      </c>
      <c r="H10" s="950">
        <f>'12-18л. РАСКЛАДКА'!S190</f>
        <v>70</v>
      </c>
      <c r="I10" s="950">
        <f>'12-18л. РАСКЛАДКА'!S246</f>
        <v>60</v>
      </c>
      <c r="J10" s="1176">
        <f>'12-18л. РАСКЛАДКА'!S301</f>
        <v>70</v>
      </c>
      <c r="K10" s="950">
        <f>'12-18л. РАСКЛАДКА'!S355</f>
        <v>83.5</v>
      </c>
      <c r="L10" s="950">
        <f>'12-18л. РАСКЛАДКА'!S406</f>
        <v>60</v>
      </c>
      <c r="M10" s="950">
        <f>'12-18л. РАСКЛАДКА'!S459</f>
        <v>70</v>
      </c>
      <c r="N10" s="950">
        <f>'12-18л. РАСКЛАДКА'!S514</f>
        <v>66</v>
      </c>
      <c r="O10" s="950">
        <f>'12-18л. РАСКЛАДКА'!S568</f>
        <v>90.5</v>
      </c>
      <c r="P10" s="2216">
        <f>'12-18л. РАСКЛАДКА'!S624</f>
        <v>70</v>
      </c>
      <c r="Q10" s="2251">
        <f t="shared" ref="Q10:Q43" si="0">E10+F10+G10+H10+I10+J10+K10+L10+M10+N10+O10+P10</f>
        <v>840</v>
      </c>
      <c r="R10" s="2564">
        <f t="shared" ref="R10:R43" si="1">(Q10*100/S10)-100</f>
        <v>0</v>
      </c>
      <c r="S10" s="2243">
        <f t="shared" ref="S10:S43" si="2">(T10*35/100)*12</f>
        <v>840</v>
      </c>
      <c r="T10" s="2244">
        <v>200</v>
      </c>
      <c r="U10" s="3"/>
      <c r="Y10" s="927"/>
      <c r="Z10" s="13"/>
      <c r="AA10" s="1"/>
      <c r="AB10" s="928"/>
      <c r="AD10" s="2209"/>
    </row>
    <row r="11" spans="2:35">
      <c r="B11" s="596">
        <v>3</v>
      </c>
      <c r="C11" s="238" t="s">
        <v>49</v>
      </c>
      <c r="D11" s="1111">
        <v>7</v>
      </c>
      <c r="E11" s="1114">
        <f>'12-18л. РАСКЛАДКА'!S13</f>
        <v>4.1399999999999997</v>
      </c>
      <c r="F11" s="950">
        <f>'12-18л. РАСКЛАДКА'!S72</f>
        <v>0</v>
      </c>
      <c r="G11" s="950">
        <f>'12-18л. РАСКЛАДКА'!S134</f>
        <v>2</v>
      </c>
      <c r="H11" s="950">
        <f>'12-18л. РАСКЛАДКА'!S191</f>
        <v>0</v>
      </c>
      <c r="I11" s="950">
        <f>'12-18л. РАСКЛАДКА'!S247</f>
        <v>27.125</v>
      </c>
      <c r="J11" s="1176">
        <f>'12-18л. РАСКЛАДКА'!S302</f>
        <v>7.1</v>
      </c>
      <c r="K11" s="950">
        <f>'12-18л. РАСКЛАДКА'!S356</f>
        <v>4.05</v>
      </c>
      <c r="L11" s="950">
        <f>'12-18л. РАСКЛАДКА'!S407</f>
        <v>5.78</v>
      </c>
      <c r="M11" s="950">
        <f>'12-18л. РАСКЛАДКА'!S460</f>
        <v>0</v>
      </c>
      <c r="N11" s="950">
        <f>'12-18л. РАСКЛАДКА'!S515</f>
        <v>26.364999999999998</v>
      </c>
      <c r="O11" s="950">
        <f>'12-18л. РАСКЛАДКА'!S569</f>
        <v>1.5</v>
      </c>
      <c r="P11" s="2216">
        <f>'12-18л. РАСКЛАДКА'!S625</f>
        <v>5.94</v>
      </c>
      <c r="Q11" s="2251">
        <f t="shared" si="0"/>
        <v>84</v>
      </c>
      <c r="R11" s="2564">
        <f t="shared" si="1"/>
        <v>0</v>
      </c>
      <c r="S11" s="2243">
        <f t="shared" si="2"/>
        <v>84</v>
      </c>
      <c r="T11" s="2244">
        <v>20</v>
      </c>
      <c r="U11" s="3"/>
      <c r="Y11" s="927"/>
      <c r="Z11" s="13"/>
      <c r="AA11" s="1"/>
      <c r="AB11" s="928"/>
      <c r="AD11" s="2210"/>
    </row>
    <row r="12" spans="2:35">
      <c r="B12" s="596">
        <v>4</v>
      </c>
      <c r="C12" s="238" t="s">
        <v>50</v>
      </c>
      <c r="D12" s="1111">
        <v>17.5</v>
      </c>
      <c r="E12" s="1114">
        <f>'12-18л. РАСКЛАДКА'!S14</f>
        <v>0</v>
      </c>
      <c r="F12" s="950">
        <f>'12-18л. РАСКЛАДКА'!S73</f>
        <v>0</v>
      </c>
      <c r="G12" s="950">
        <f>'12-18л. РАСКЛАДКА'!S135</f>
        <v>38.85</v>
      </c>
      <c r="H12" s="950">
        <f>'12-18л. РАСКЛАДКА'!S192</f>
        <v>20</v>
      </c>
      <c r="I12" s="950">
        <f>'12-18л. РАСКЛАДКА'!S248</f>
        <v>0</v>
      </c>
      <c r="J12" s="1176">
        <f>'12-18л. РАСКЛАДКА'!S303</f>
        <v>5</v>
      </c>
      <c r="K12" s="950">
        <f>'12-18л. РАСКЛАДКА'!S357</f>
        <v>5.05</v>
      </c>
      <c r="L12" s="950">
        <f>'12-18л. РАСКЛАДКА'!S408</f>
        <v>20</v>
      </c>
      <c r="M12" s="950">
        <f>'12-18л. РАСКЛАДКА'!S461</f>
        <v>47.6</v>
      </c>
      <c r="N12" s="950">
        <f>'12-18л. РАСКЛАДКА'!S516</f>
        <v>0</v>
      </c>
      <c r="O12" s="950">
        <f>'12-18л. РАСКЛАДКА'!S570</f>
        <v>43.5</v>
      </c>
      <c r="P12" s="2216">
        <f>'12-18л. РАСКЛАДКА'!S626</f>
        <v>30</v>
      </c>
      <c r="Q12" s="2251">
        <f t="shared" si="0"/>
        <v>210</v>
      </c>
      <c r="R12" s="2564">
        <f t="shared" si="1"/>
        <v>0</v>
      </c>
      <c r="S12" s="2243">
        <f t="shared" si="2"/>
        <v>210</v>
      </c>
      <c r="T12" s="2244">
        <v>50</v>
      </c>
      <c r="U12" s="3"/>
      <c r="Y12" s="927"/>
      <c r="Z12" s="13"/>
      <c r="AA12" s="1"/>
      <c r="AB12" s="928"/>
      <c r="AD12" s="2209"/>
    </row>
    <row r="13" spans="2:35">
      <c r="B13" s="596">
        <v>5</v>
      </c>
      <c r="C13" s="238" t="s">
        <v>51</v>
      </c>
      <c r="D13" s="1111">
        <v>7</v>
      </c>
      <c r="E13" s="1114">
        <f>'12-18л. РАСКЛАДКА'!S15</f>
        <v>49.1</v>
      </c>
      <c r="F13" s="950">
        <f>'12-18л. РАСКЛАДКА'!S74</f>
        <v>20.9</v>
      </c>
      <c r="G13" s="950">
        <f>'12-18л. РАСКЛАДКА'!S136</f>
        <v>0</v>
      </c>
      <c r="H13" s="950">
        <f>'12-18л. РАСКЛАДКА'!S193</f>
        <v>0</v>
      </c>
      <c r="I13" s="950">
        <f>'12-18л. РАСКЛАДКА'!S249</f>
        <v>0</v>
      </c>
      <c r="J13" s="1176">
        <f>'12-18л. РАСКЛАДКА'!S304</f>
        <v>0</v>
      </c>
      <c r="K13" s="950">
        <f>'12-18л. РАСКЛАДКА'!S358</f>
        <v>0</v>
      </c>
      <c r="L13" s="950">
        <f>'12-18л. РАСКЛАДКА'!S409</f>
        <v>0</v>
      </c>
      <c r="M13" s="950">
        <f>'12-18л. РАСКЛАДКА'!S462</f>
        <v>0</v>
      </c>
      <c r="N13" s="950">
        <f>'12-18л. РАСКЛАДКА'!S517</f>
        <v>0</v>
      </c>
      <c r="O13" s="950">
        <f>'12-18л. РАСКЛАДКА'!S571</f>
        <v>0</v>
      </c>
      <c r="P13" s="2216">
        <f>'12-18л. РАСКЛАДКА'!S627</f>
        <v>14</v>
      </c>
      <c r="Q13" s="2251">
        <f t="shared" si="0"/>
        <v>84</v>
      </c>
      <c r="R13" s="2564">
        <f t="shared" si="1"/>
        <v>0</v>
      </c>
      <c r="S13" s="2243">
        <f t="shared" si="2"/>
        <v>84</v>
      </c>
      <c r="T13" s="2244">
        <v>20</v>
      </c>
      <c r="U13" s="3"/>
      <c r="Y13" s="927"/>
      <c r="Z13" s="13"/>
      <c r="AA13" s="1"/>
      <c r="AB13" s="928"/>
      <c r="AD13" s="2211"/>
    </row>
    <row r="14" spans="2:35">
      <c r="B14" s="596">
        <v>6</v>
      </c>
      <c r="C14" s="238" t="s">
        <v>52</v>
      </c>
      <c r="D14" s="1111">
        <v>65.45</v>
      </c>
      <c r="E14" s="1114">
        <f>'12-18л. РАСКЛАДКА'!S16</f>
        <v>20</v>
      </c>
      <c r="F14" s="950">
        <f>'12-18л. РАСКЛАДКА'!S75</f>
        <v>0</v>
      </c>
      <c r="G14" s="950">
        <f>'12-18л. РАСКЛАДКА'!S137</f>
        <v>50</v>
      </c>
      <c r="H14" s="950">
        <f>'12-18л. РАСКЛАДКА'!S194</f>
        <v>146</v>
      </c>
      <c r="I14" s="950">
        <f>'12-18л. РАСКЛАДКА'!S250</f>
        <v>83.710000000000008</v>
      </c>
      <c r="J14" s="1176">
        <f>'12-18л. РАСКЛАДКА'!S305</f>
        <v>121.8</v>
      </c>
      <c r="K14" s="950">
        <f>'12-18л. РАСКЛАДКА'!S359</f>
        <v>132.6</v>
      </c>
      <c r="L14" s="950">
        <f>'12-18л. РАСКЛАДКА'!S410</f>
        <v>71.819999999999993</v>
      </c>
      <c r="M14" s="950">
        <f>'12-18л. РАСКЛАДКА'!S463</f>
        <v>34.6</v>
      </c>
      <c r="N14" s="950">
        <f>'12-18л. РАСКЛАДКА'!S518</f>
        <v>41.71</v>
      </c>
      <c r="O14" s="950">
        <f>'12-18л. РАСКЛАДКА'!S572</f>
        <v>30</v>
      </c>
      <c r="P14" s="2216">
        <f>'12-18л. РАСКЛАДКА'!S628</f>
        <v>53.16</v>
      </c>
      <c r="Q14" s="2251">
        <f t="shared" si="0"/>
        <v>785.40000000000009</v>
      </c>
      <c r="R14" s="2564">
        <f t="shared" si="1"/>
        <v>0</v>
      </c>
      <c r="S14" s="2243">
        <f t="shared" si="2"/>
        <v>785.40000000000009</v>
      </c>
      <c r="T14" s="2244">
        <v>187</v>
      </c>
      <c r="U14" s="3"/>
      <c r="Y14" s="927"/>
      <c r="Z14" s="13"/>
      <c r="AA14" s="1"/>
      <c r="AB14" s="928"/>
      <c r="AD14" s="2210"/>
    </row>
    <row r="15" spans="2:35">
      <c r="B15" s="596">
        <v>7</v>
      </c>
      <c r="C15" s="238" t="s">
        <v>292</v>
      </c>
      <c r="D15" s="1111">
        <v>112</v>
      </c>
      <c r="E15" s="1114">
        <f>'12-18л. РАСКЛАДКА'!S17</f>
        <v>211.7</v>
      </c>
      <c r="F15" s="950">
        <f>'12-18л. РАСКЛАДКА'!S76</f>
        <v>101.1</v>
      </c>
      <c r="G15" s="950">
        <f>'12-18л. РАСКЛАДКА'!S138</f>
        <v>139.6</v>
      </c>
      <c r="H15" s="950">
        <f>'12-18л. РАСКЛАДКА'!S195</f>
        <v>112.4</v>
      </c>
      <c r="I15" s="950">
        <f>'12-18л. РАСКЛАДКА'!S251</f>
        <v>98</v>
      </c>
      <c r="J15" s="1176">
        <f>'12-18л. РАСКЛАДКА'!S306</f>
        <v>197.3</v>
      </c>
      <c r="K15" s="950">
        <f>'12-18л. РАСКЛАДКА'!S360</f>
        <v>185.28000000000003</v>
      </c>
      <c r="L15" s="950">
        <f>'12-18л. РАСКЛАДКА'!S411</f>
        <v>85.6</v>
      </c>
      <c r="M15" s="950">
        <f>'12-18л. РАСКЛАДКА'!S464</f>
        <v>156.53</v>
      </c>
      <c r="N15" s="950">
        <f>'12-18л. РАСКЛАДКА'!S519</f>
        <v>70</v>
      </c>
      <c r="O15" s="950">
        <f>'12-18л. РАСКЛАДКА'!S573</f>
        <v>134</v>
      </c>
      <c r="P15" s="2216">
        <f>'12-18л. РАСКЛАДКА'!S629</f>
        <v>108.4</v>
      </c>
      <c r="Q15" s="2251">
        <f t="shared" si="0"/>
        <v>1599.9099999999999</v>
      </c>
      <c r="R15" s="2564">
        <f t="shared" si="1"/>
        <v>19.04092261904762</v>
      </c>
      <c r="S15" s="2243">
        <f t="shared" si="2"/>
        <v>1344</v>
      </c>
      <c r="T15" s="2244">
        <v>320</v>
      </c>
      <c r="U15" s="66"/>
      <c r="Y15" s="927"/>
      <c r="Z15" s="13"/>
      <c r="AA15" s="1"/>
      <c r="AB15" s="928"/>
      <c r="AD15" s="2218"/>
      <c r="AI15" s="176"/>
    </row>
    <row r="16" spans="2:35">
      <c r="B16" s="596">
        <v>8</v>
      </c>
      <c r="C16" s="238" t="s">
        <v>293</v>
      </c>
      <c r="D16" s="1111">
        <v>64.75</v>
      </c>
      <c r="E16" s="1114">
        <f>'12-18л. РАСКЛАДКА'!S18</f>
        <v>0</v>
      </c>
      <c r="F16" s="950">
        <f>'12-18л. РАСКЛАДКА'!S77</f>
        <v>120</v>
      </c>
      <c r="G16" s="950">
        <f>'12-18л. РАСКЛАДКА'!S139</f>
        <v>110</v>
      </c>
      <c r="H16" s="950">
        <f>'12-18л. РАСКЛАДКА'!S196</f>
        <v>0</v>
      </c>
      <c r="I16" s="950">
        <f>'12-18л. РАСКЛАДКА'!S252</f>
        <v>105</v>
      </c>
      <c r="J16" s="1176">
        <f>'12-18л. РАСКЛАДКА'!S307</f>
        <v>0</v>
      </c>
      <c r="K16" s="950">
        <f>'12-18л. РАСКЛАДКА'!S361</f>
        <v>0</v>
      </c>
      <c r="L16" s="950">
        <f>'12-18л. РАСКЛАДКА'!S412</f>
        <v>110</v>
      </c>
      <c r="M16" s="950">
        <f>'12-18л. РАСКЛАДКА'!S465</f>
        <v>112</v>
      </c>
      <c r="N16" s="950">
        <f>'12-18л. РАСКЛАДКА'!S520</f>
        <v>0</v>
      </c>
      <c r="O16" s="950">
        <f>'12-18л. РАСКЛАДКА'!S574</f>
        <v>110</v>
      </c>
      <c r="P16" s="2216">
        <f>'12-18л. РАСКЛАДКА'!S630</f>
        <v>110</v>
      </c>
      <c r="Q16" s="2251">
        <f t="shared" si="0"/>
        <v>777</v>
      </c>
      <c r="R16" s="2564">
        <f t="shared" si="1"/>
        <v>0</v>
      </c>
      <c r="S16" s="2243">
        <f t="shared" si="2"/>
        <v>777</v>
      </c>
      <c r="T16" s="2244">
        <v>185</v>
      </c>
      <c r="U16" s="3"/>
      <c r="Y16" s="927"/>
      <c r="Z16" s="13"/>
      <c r="AA16" s="1"/>
      <c r="AB16" s="928"/>
      <c r="AD16" s="2209"/>
    </row>
    <row r="17" spans="2:35">
      <c r="B17" s="596">
        <v>9</v>
      </c>
      <c r="C17" s="238" t="s">
        <v>122</v>
      </c>
      <c r="D17" s="1111">
        <v>7</v>
      </c>
      <c r="E17" s="1114">
        <f>'12-18л. РАСКЛАДКА'!S19</f>
        <v>0</v>
      </c>
      <c r="F17" s="950">
        <f>'12-18л. РАСКЛАДКА'!S78</f>
        <v>0</v>
      </c>
      <c r="G17" s="950">
        <f>'12-18л. РАСКЛАДКА'!S140</f>
        <v>25</v>
      </c>
      <c r="H17" s="950">
        <f>'12-18л. РАСКЛАДКА'!S197</f>
        <v>0</v>
      </c>
      <c r="I17" s="950">
        <f>'12-18л. РАСКЛАДКА'!S253</f>
        <v>0</v>
      </c>
      <c r="J17" s="1176">
        <f>'12-18л. РАСКЛАДКА'!S308</f>
        <v>0</v>
      </c>
      <c r="K17" s="950">
        <f>'12-18л. РАСКЛАДКА'!S362</f>
        <v>0</v>
      </c>
      <c r="L17" s="950">
        <f>'12-18л. РАСКЛАДКА'!S413</f>
        <v>0</v>
      </c>
      <c r="M17" s="950">
        <f>'12-18л. РАСКЛАДКА'!S466</f>
        <v>14</v>
      </c>
      <c r="N17" s="950">
        <f>'12-18л. РАСКЛАДКА'!S521</f>
        <v>25</v>
      </c>
      <c r="O17" s="950">
        <f>'12-18л. РАСКЛАДКА'!S575</f>
        <v>0</v>
      </c>
      <c r="P17" s="2216">
        <f>'12-18л. РАСКЛАДКА'!S631</f>
        <v>20</v>
      </c>
      <c r="Q17" s="2251">
        <f t="shared" si="0"/>
        <v>84</v>
      </c>
      <c r="R17" s="2564">
        <f t="shared" si="1"/>
        <v>0</v>
      </c>
      <c r="S17" s="2243">
        <f t="shared" si="2"/>
        <v>84</v>
      </c>
      <c r="T17" s="2244">
        <v>20</v>
      </c>
      <c r="U17" s="3"/>
      <c r="Y17" s="927"/>
      <c r="Z17" s="13"/>
      <c r="AA17" s="1"/>
      <c r="AB17" s="928"/>
      <c r="AD17" s="2213"/>
    </row>
    <row r="18" spans="2:35">
      <c r="B18" s="596">
        <v>10</v>
      </c>
      <c r="C18" s="238" t="s">
        <v>294</v>
      </c>
      <c r="D18" s="1111">
        <v>70</v>
      </c>
      <c r="E18" s="1114">
        <f>'12-18л. РАСКЛАДКА'!S20</f>
        <v>0</v>
      </c>
      <c r="F18" s="950">
        <f>'12-18л. РАСКЛАДКА'!S79</f>
        <v>0</v>
      </c>
      <c r="G18" s="950">
        <f>'12-18л. РАСКЛАДКА'!S141</f>
        <v>0</v>
      </c>
      <c r="H18" s="950">
        <f>'12-18л. РАСКЛАДКА'!S198</f>
        <v>0</v>
      </c>
      <c r="I18" s="950">
        <f>'12-18л. РАСКЛАДКА'!S254</f>
        <v>200</v>
      </c>
      <c r="J18" s="1242">
        <f>'12-18л. РАСКЛАДКА'!S309</f>
        <v>200</v>
      </c>
      <c r="K18" s="950">
        <f>'12-18л. РАСКЛАДКА'!S363</f>
        <v>200</v>
      </c>
      <c r="L18" s="950">
        <f>'12-18л. РАСКЛАДКА'!S414</f>
        <v>200</v>
      </c>
      <c r="M18" s="950">
        <f>'12-18л. РАСКЛАДКА'!S467</f>
        <v>80</v>
      </c>
      <c r="N18" s="950">
        <f>'12-18л. РАСКЛАДКА'!S522</f>
        <v>0</v>
      </c>
      <c r="O18" s="950">
        <f>'12-18л. РАСКЛАДКА'!S576</f>
        <v>0</v>
      </c>
      <c r="P18" s="2216">
        <f>'12-18л. РАСКЛАДКА'!S632</f>
        <v>0</v>
      </c>
      <c r="Q18" s="2251">
        <f t="shared" si="0"/>
        <v>880</v>
      </c>
      <c r="R18" s="2564">
        <f t="shared" si="1"/>
        <v>4.7619047619047592</v>
      </c>
      <c r="S18" s="2243">
        <f t="shared" si="2"/>
        <v>840</v>
      </c>
      <c r="T18" s="2244">
        <v>200</v>
      </c>
      <c r="U18" s="3"/>
      <c r="Y18" s="927"/>
      <c r="Z18" s="13"/>
      <c r="AA18" s="1"/>
      <c r="AB18" s="928"/>
      <c r="AD18" s="2209"/>
    </row>
    <row r="19" spans="2:35">
      <c r="B19" s="596">
        <v>11</v>
      </c>
      <c r="C19" s="238" t="s">
        <v>139</v>
      </c>
      <c r="D19" s="1111">
        <v>27.3</v>
      </c>
      <c r="E19" s="1114">
        <f>'12-18л. РАСКЛАДКА'!S21</f>
        <v>2.5</v>
      </c>
      <c r="F19" s="950">
        <f>'12-18л. РАСКЛАДКА'!S80</f>
        <v>0</v>
      </c>
      <c r="G19" s="950">
        <f>'12-18л. РАСКЛАДКА'!S142</f>
        <v>85.5</v>
      </c>
      <c r="H19" s="950">
        <f>'12-18л. РАСКЛАДКА'!S199</f>
        <v>72.599999999999994</v>
      </c>
      <c r="I19" s="950">
        <f>'12-18л. РАСКЛАДКА'!S255</f>
        <v>0</v>
      </c>
      <c r="J19" s="1176">
        <f>'12-18л. РАСКЛАДКА'!S310</f>
        <v>0</v>
      </c>
      <c r="K19" s="950">
        <f>'12-18л. РАСКЛАДКА'!S364</f>
        <v>28.4</v>
      </c>
      <c r="L19" s="950">
        <f>'12-18л. РАСКЛАДКА'!S415</f>
        <v>0</v>
      </c>
      <c r="M19" s="950">
        <f>'12-18л. РАСКЛАДКА'!S468</f>
        <v>81.5</v>
      </c>
      <c r="N19" s="950">
        <f>'12-18л. РАСКЛАДКА'!S523</f>
        <v>0</v>
      </c>
      <c r="O19" s="950">
        <f>'12-18л. РАСКЛАДКА'!S577</f>
        <v>2.5</v>
      </c>
      <c r="P19" s="2216">
        <f>'12-18л. РАСКЛАДКА'!S633</f>
        <v>54.6</v>
      </c>
      <c r="Q19" s="2251">
        <f t="shared" si="0"/>
        <v>327.60000000000002</v>
      </c>
      <c r="R19" s="2564">
        <f t="shared" si="1"/>
        <v>0</v>
      </c>
      <c r="S19" s="2243">
        <f t="shared" si="2"/>
        <v>327.60000000000002</v>
      </c>
      <c r="T19" s="2244">
        <v>78</v>
      </c>
      <c r="U19" s="3"/>
      <c r="Y19" s="927"/>
      <c r="Z19" s="13"/>
      <c r="AA19" s="1"/>
      <c r="AB19" s="928"/>
      <c r="AD19" s="2209"/>
    </row>
    <row r="20" spans="2:35">
      <c r="B20" s="596">
        <v>12</v>
      </c>
      <c r="C20" s="238" t="s">
        <v>140</v>
      </c>
      <c r="D20" s="1111">
        <v>18.55</v>
      </c>
      <c r="E20" s="1114">
        <f>'12-18л. РАСКЛАДКА'!S22</f>
        <v>0</v>
      </c>
      <c r="F20" s="950">
        <f>'12-18л. РАСКЛАДКА'!S81</f>
        <v>59.34</v>
      </c>
      <c r="G20" s="950">
        <f>'12-18л. РАСКЛАДКА'!S143</f>
        <v>0</v>
      </c>
      <c r="H20" s="950">
        <f>'12-18л. РАСКЛАДКА'!S200</f>
        <v>0</v>
      </c>
      <c r="I20" s="950">
        <f>'12-18л. РАСКЛАДКА'!S256</f>
        <v>2.5</v>
      </c>
      <c r="J20" s="1176">
        <f>'12-18л. РАСКЛАДКА'!S311</f>
        <v>2.5</v>
      </c>
      <c r="K20" s="950">
        <f>'12-18л. РАСКЛАДКА'!S365</f>
        <v>44.66</v>
      </c>
      <c r="L20" s="950">
        <f>'12-18л. РАСКЛАДКА'!S416</f>
        <v>2.5</v>
      </c>
      <c r="M20" s="950">
        <f>'12-18л. РАСКЛАДКА'!S469</f>
        <v>0</v>
      </c>
      <c r="N20" s="950">
        <f>'12-18л. РАСКЛАДКА'!S524</f>
        <v>76.5</v>
      </c>
      <c r="O20" s="950">
        <f>'12-18л. РАСКЛАДКА'!S578</f>
        <v>0</v>
      </c>
      <c r="P20" s="2216">
        <f>'12-18л. РАСКЛАДКА'!S634</f>
        <v>34.6</v>
      </c>
      <c r="Q20" s="2251">
        <f t="shared" si="0"/>
        <v>222.6</v>
      </c>
      <c r="R20" s="2564">
        <f t="shared" si="1"/>
        <v>0</v>
      </c>
      <c r="S20" s="2243">
        <f t="shared" si="2"/>
        <v>222.60000000000002</v>
      </c>
      <c r="T20" s="2244">
        <v>53</v>
      </c>
      <c r="U20" s="3"/>
      <c r="Y20" s="927"/>
      <c r="Z20" s="13"/>
      <c r="AA20" s="1"/>
      <c r="AB20" s="928"/>
      <c r="AD20" s="2209"/>
    </row>
    <row r="21" spans="2:35" ht="12.75" customHeight="1">
      <c r="B21" s="596">
        <v>13</v>
      </c>
      <c r="C21" s="238" t="s">
        <v>53</v>
      </c>
      <c r="D21" s="1111">
        <v>26.95</v>
      </c>
      <c r="E21" s="1114">
        <f>'12-18л. РАСКЛАДКА'!S23</f>
        <v>0</v>
      </c>
      <c r="F21" s="950">
        <f>'12-18л. РАСКЛАДКА'!S82</f>
        <v>0</v>
      </c>
      <c r="G21" s="950">
        <f>'12-18л. РАСКЛАДКА'!S144</f>
        <v>0</v>
      </c>
      <c r="H21" s="950">
        <f>'12-18л. РАСКЛАДКА'!S201</f>
        <v>0</v>
      </c>
      <c r="I21" s="950">
        <f>'12-18л. РАСКЛАДКА'!S257</f>
        <v>82.67</v>
      </c>
      <c r="J21" s="1176">
        <f>'12-18л. РАСКЛАДКА'!S312</f>
        <v>0</v>
      </c>
      <c r="K21" s="950">
        <f>'12-18л. РАСКЛАДКА'!S366</f>
        <v>0</v>
      </c>
      <c r="L21" s="950">
        <f>'12-18л. РАСКЛАДКА'!S417</f>
        <v>103.61</v>
      </c>
      <c r="M21" s="950">
        <f>'12-18л. РАСКЛАДКА'!S470</f>
        <v>0</v>
      </c>
      <c r="N21" s="950">
        <f>'12-18л. РАСКЛАДКА'!S525</f>
        <v>0</v>
      </c>
      <c r="O21" s="950">
        <f>'12-18л. РАСКЛАДКА'!S579</f>
        <v>83.22</v>
      </c>
      <c r="P21" s="2216">
        <f>'12-18л. РАСКЛАДКА'!S635</f>
        <v>53.9</v>
      </c>
      <c r="Q21" s="2251">
        <f t="shared" si="0"/>
        <v>323.39999999999998</v>
      </c>
      <c r="R21" s="2564">
        <f t="shared" si="1"/>
        <v>0</v>
      </c>
      <c r="S21" s="2243">
        <f t="shared" si="2"/>
        <v>323.39999999999998</v>
      </c>
      <c r="T21" s="2244">
        <v>77</v>
      </c>
      <c r="U21" s="3"/>
      <c r="Y21" s="927"/>
      <c r="Z21" s="13"/>
      <c r="AA21" s="1"/>
      <c r="AB21" s="928"/>
      <c r="AD21" s="2209"/>
    </row>
    <row r="22" spans="2:35" ht="13.5" customHeight="1">
      <c r="B22" s="596">
        <v>14</v>
      </c>
      <c r="C22" s="238" t="s">
        <v>141</v>
      </c>
      <c r="D22" s="1111">
        <v>14</v>
      </c>
      <c r="E22" s="1114">
        <f>'12-18л. РАСКЛАДКА'!S24</f>
        <v>88.8</v>
      </c>
      <c r="F22" s="950">
        <f>'12-18л. РАСКЛАДКА'!S83</f>
        <v>0</v>
      </c>
      <c r="G22" s="950">
        <f>'12-18л. РАСКЛАДКА'!S145</f>
        <v>0</v>
      </c>
      <c r="H22" s="950">
        <f>'12-18л. РАСКЛАДКА'!S202</f>
        <v>0</v>
      </c>
      <c r="I22" s="950">
        <f>'12-18л. РАСКЛАДКА'!S258</f>
        <v>0</v>
      </c>
      <c r="J22" s="1176">
        <f>'12-18л. РАСКЛАДКА'!S313</f>
        <v>79.2</v>
      </c>
      <c r="K22" s="950">
        <f>'12-18л. РАСКЛАДКА'!S367</f>
        <v>0</v>
      </c>
      <c r="L22" s="950">
        <f>'12-18л. РАСКЛАДКА'!S418</f>
        <v>0</v>
      </c>
      <c r="M22" s="950">
        <f>'12-18л. РАСКЛАДКА'!S471</f>
        <v>0</v>
      </c>
      <c r="N22" s="950">
        <f>'12-18л. РАСКЛАДКА'!S526</f>
        <v>0</v>
      </c>
      <c r="O22" s="950">
        <f>'12-18л. РАСКЛАДКА'!S580</f>
        <v>0</v>
      </c>
      <c r="P22" s="2216">
        <f>'12-18л. РАСКЛАДКА'!S636</f>
        <v>0</v>
      </c>
      <c r="Q22" s="2251">
        <f t="shared" si="0"/>
        <v>168</v>
      </c>
      <c r="R22" s="2564">
        <f t="shared" si="1"/>
        <v>0</v>
      </c>
      <c r="S22" s="2243">
        <f t="shared" si="2"/>
        <v>168</v>
      </c>
      <c r="T22" s="2244">
        <v>40</v>
      </c>
      <c r="U22" s="3"/>
      <c r="Y22" s="927"/>
      <c r="Z22" s="13"/>
      <c r="AA22" s="1"/>
      <c r="AB22" s="928"/>
      <c r="AD22" s="2209"/>
    </row>
    <row r="23" spans="2:35" ht="12" customHeight="1">
      <c r="B23" s="596">
        <v>15</v>
      </c>
      <c r="C23" s="238" t="s">
        <v>295</v>
      </c>
      <c r="D23" s="1111">
        <v>122.5</v>
      </c>
      <c r="E23" s="1114">
        <f>'12-18л. РАСКЛАДКА'!S25</f>
        <v>242</v>
      </c>
      <c r="F23" s="950">
        <f>'12-18л. РАСКЛАДКА'!S84</f>
        <v>255</v>
      </c>
      <c r="G23" s="950">
        <f>'12-18л. РАСКЛАДКА'!S146</f>
        <v>0</v>
      </c>
      <c r="H23" s="950">
        <f>'12-18л. РАСКЛАДКА'!S203</f>
        <v>205</v>
      </c>
      <c r="I23" s="950">
        <f>'12-18л. РАСКЛАДКА'!S259</f>
        <v>66.900000000000006</v>
      </c>
      <c r="J23" s="1176">
        <f>'12-18л. РАСКЛАДКА'!S314</f>
        <v>59</v>
      </c>
      <c r="K23" s="950">
        <f>'12-18л. РАСКЛАДКА'!S368</f>
        <v>22.84</v>
      </c>
      <c r="L23" s="950">
        <f>'12-18л. РАСКЛАДКА'!S419</f>
        <v>65.099999999999994</v>
      </c>
      <c r="M23" s="950">
        <f>'12-18л. РАСКЛАДКА'!S472</f>
        <v>0</v>
      </c>
      <c r="N23" s="950">
        <f>'12-18л. РАСКЛАДКА'!S527</f>
        <v>18</v>
      </c>
      <c r="O23" s="950">
        <f>'12-18л. РАСКЛАДКА'!S581</f>
        <v>226.1</v>
      </c>
      <c r="P23" s="2216">
        <f>'12-18л. РАСКЛАДКА'!S637</f>
        <v>7</v>
      </c>
      <c r="Q23" s="2251">
        <f t="shared" si="0"/>
        <v>1166.94</v>
      </c>
      <c r="R23" s="2564">
        <f t="shared" si="1"/>
        <v>-20.616326530612241</v>
      </c>
      <c r="S23" s="2243">
        <f t="shared" si="2"/>
        <v>1470</v>
      </c>
      <c r="T23" s="2244">
        <v>350</v>
      </c>
      <c r="U23" s="3"/>
      <c r="Y23" s="927"/>
      <c r="Z23" s="13"/>
      <c r="AA23" s="1"/>
      <c r="AB23" s="928"/>
      <c r="AD23" s="2219"/>
      <c r="AI23" s="176"/>
    </row>
    <row r="24" spans="2:35" ht="14.25" customHeight="1">
      <c r="B24" s="596">
        <v>16</v>
      </c>
      <c r="C24" s="238" t="s">
        <v>296</v>
      </c>
      <c r="D24" s="1111">
        <v>63</v>
      </c>
      <c r="E24" s="1115">
        <f>'12-18л. РАСКЛАДКА'!S26</f>
        <v>0</v>
      </c>
      <c r="F24" s="951">
        <f>'12-18л. РАСКЛАДКА'!S85</f>
        <v>0</v>
      </c>
      <c r="G24" s="952">
        <f>'12-18л. РАСКЛАДКА'!S147</f>
        <v>0</v>
      </c>
      <c r="H24" s="950">
        <f>'12-18л. РАСКЛАДКА'!S204</f>
        <v>0</v>
      </c>
      <c r="I24" s="953">
        <f>'12-18л. РАСКЛАДКА'!S260</f>
        <v>0</v>
      </c>
      <c r="J24" s="1176">
        <f>'12-18л. РАСКЛАДКА'!S315</f>
        <v>0</v>
      </c>
      <c r="K24" s="950">
        <f>'12-18л. РАСКЛАДКА'!S369</f>
        <v>0</v>
      </c>
      <c r="L24" s="953">
        <f>'12-18л. РАСКЛАДКА'!S420</f>
        <v>0</v>
      </c>
      <c r="M24" s="951">
        <f>'12-18л. РАСКЛАДКА'!S473</f>
        <v>0</v>
      </c>
      <c r="N24" s="951">
        <f>'12-18л. РАСКЛАДКА'!S528</f>
        <v>0</v>
      </c>
      <c r="O24" s="953">
        <f>'12-18л. РАСКЛАДКА'!S582</f>
        <v>0</v>
      </c>
      <c r="P24" s="2216">
        <f>'12-18л. РАСКЛАДКА'!S638</f>
        <v>0</v>
      </c>
      <c r="Q24" s="2251">
        <f t="shared" si="0"/>
        <v>0</v>
      </c>
      <c r="R24" s="2612">
        <f t="shared" si="1"/>
        <v>-100</v>
      </c>
      <c r="S24" s="2243">
        <f t="shared" si="2"/>
        <v>756</v>
      </c>
      <c r="T24" s="2244">
        <v>180</v>
      </c>
      <c r="U24" s="3"/>
      <c r="Y24" s="927"/>
      <c r="Z24" s="13"/>
      <c r="AA24" s="1"/>
      <c r="AB24" s="928"/>
      <c r="AD24" s="2212"/>
      <c r="AH24" s="209"/>
    </row>
    <row r="25" spans="2:35">
      <c r="B25" s="596">
        <v>17</v>
      </c>
      <c r="C25" s="238" t="s">
        <v>297</v>
      </c>
      <c r="D25" s="1111">
        <v>21</v>
      </c>
      <c r="E25" s="1115">
        <f>'12-18л. РАСКЛАДКА'!S27</f>
        <v>0</v>
      </c>
      <c r="F25" s="951">
        <f>'12-18л. РАСКЛАДКА'!S86</f>
        <v>0</v>
      </c>
      <c r="G25" s="952">
        <f>'12-18л. РАСКЛАДКА'!S148</f>
        <v>0</v>
      </c>
      <c r="H25" s="950">
        <f>'12-18л. РАСКЛАДКА'!S205</f>
        <v>0</v>
      </c>
      <c r="I25" s="953">
        <f>'12-18л. РАСКЛАДКА'!S261</f>
        <v>126</v>
      </c>
      <c r="J25" s="1176">
        <f>'12-18л. РАСКЛАДКА'!S316</f>
        <v>0</v>
      </c>
      <c r="K25" s="950">
        <f>'12-18л. РАСКЛАДКА'!S370</f>
        <v>0</v>
      </c>
      <c r="L25" s="953">
        <f>'12-18л. РАСКЛАДКА'!S421</f>
        <v>0</v>
      </c>
      <c r="M25" s="951">
        <f>'12-18л. РАСКЛАДКА'!S474</f>
        <v>0</v>
      </c>
      <c r="N25" s="1116">
        <f>'12-18л. РАСКЛАДКА'!S529</f>
        <v>126</v>
      </c>
      <c r="O25" s="953">
        <f>'12-18л. РАСКЛАДКА'!S583</f>
        <v>0</v>
      </c>
      <c r="P25" s="2216">
        <f>'12-18л. РАСКЛАДКА'!S639</f>
        <v>0</v>
      </c>
      <c r="Q25" s="2251">
        <f t="shared" si="0"/>
        <v>252</v>
      </c>
      <c r="R25" s="2564">
        <f t="shared" si="1"/>
        <v>0</v>
      </c>
      <c r="S25" s="2243">
        <f t="shared" si="2"/>
        <v>252</v>
      </c>
      <c r="T25" s="2244">
        <v>60</v>
      </c>
      <c r="U25" s="3"/>
      <c r="Y25" s="927"/>
      <c r="Z25" s="13"/>
      <c r="AA25" s="1"/>
      <c r="AB25" s="928"/>
      <c r="AD25" s="2209"/>
      <c r="AI25" s="176"/>
    </row>
    <row r="26" spans="2:35">
      <c r="B26" s="596">
        <v>18</v>
      </c>
      <c r="C26" s="238" t="s">
        <v>54</v>
      </c>
      <c r="D26" s="1111">
        <v>5.25</v>
      </c>
      <c r="E26" s="1115">
        <f>'12-18л. РАСКЛАДКА'!S28</f>
        <v>0</v>
      </c>
      <c r="F26" s="951">
        <f>'12-18л. РАСКЛАДКА'!S87</f>
        <v>17.5</v>
      </c>
      <c r="G26" s="952">
        <f>'12-18л. РАСКЛАДКА'!S149</f>
        <v>0</v>
      </c>
      <c r="H26" s="950">
        <f>'12-18л. РАСКЛАДКА'!S206</f>
        <v>30</v>
      </c>
      <c r="I26" s="953">
        <f>'12-18л. РАСКЛАДКА'!S262</f>
        <v>0</v>
      </c>
      <c r="J26" s="1176">
        <f>'12-18л. РАСКЛАДКА'!S317</f>
        <v>0</v>
      </c>
      <c r="K26" s="950">
        <f>'12-18л. РАСКЛАДКА'!S371</f>
        <v>0</v>
      </c>
      <c r="L26" s="953">
        <f>'12-18л. РАСКЛАДКА'!S422</f>
        <v>5</v>
      </c>
      <c r="M26" s="951">
        <f>'12-18л. РАСКЛАДКА'!S475</f>
        <v>0</v>
      </c>
      <c r="N26" s="951">
        <f>'12-18л. РАСКЛАДКА'!S530</f>
        <v>0</v>
      </c>
      <c r="O26" s="953">
        <f>'12-18л. РАСКЛАДКА'!S584</f>
        <v>0</v>
      </c>
      <c r="P26" s="2216">
        <f>'12-18л. РАСКЛАДКА'!S640</f>
        <v>10.5</v>
      </c>
      <c r="Q26" s="2251">
        <f t="shared" si="0"/>
        <v>63</v>
      </c>
      <c r="R26" s="2564">
        <f t="shared" si="1"/>
        <v>0</v>
      </c>
      <c r="S26" s="2243">
        <f t="shared" si="2"/>
        <v>63</v>
      </c>
      <c r="T26" s="2244">
        <v>15</v>
      </c>
      <c r="U26" s="3"/>
      <c r="Y26" s="927"/>
      <c r="Z26" s="13"/>
      <c r="AA26" s="1"/>
      <c r="AB26" s="928"/>
      <c r="AD26" s="2209"/>
    </row>
    <row r="27" spans="2:35">
      <c r="B27" s="596">
        <v>19</v>
      </c>
      <c r="C27" s="238" t="s">
        <v>298</v>
      </c>
      <c r="D27" s="1111">
        <v>3.5</v>
      </c>
      <c r="E27" s="1115">
        <f>'12-18л. РАСКЛАДКА'!S29</f>
        <v>6.8</v>
      </c>
      <c r="F27" s="951">
        <f>'12-18л. РАСКЛАДКА'!S88</f>
        <v>0</v>
      </c>
      <c r="G27" s="952">
        <f>'12-18л. РАСКЛАДКА'!S150</f>
        <v>0</v>
      </c>
      <c r="H27" s="950">
        <f>'12-18л. РАСКЛАДКА'!S207</f>
        <v>0</v>
      </c>
      <c r="I27" s="953">
        <f>'12-18л. РАСКЛАДКА'!S263</f>
        <v>8.75</v>
      </c>
      <c r="J27" s="1176">
        <f>'12-18л. РАСКЛАДКА'!S318</f>
        <v>4.5999999999999996</v>
      </c>
      <c r="K27" s="950">
        <f>'12-18л. РАСКЛАДКА'!S372</f>
        <v>8.1</v>
      </c>
      <c r="L27" s="953">
        <f>'12-18л. РАСКЛАДКА'!S423</f>
        <v>0</v>
      </c>
      <c r="M27" s="951">
        <f>'12-18л. РАСКЛАДКА'!S476</f>
        <v>0</v>
      </c>
      <c r="N27" s="951">
        <f>'12-18л. РАСКЛАДКА'!S531</f>
        <v>8.75</v>
      </c>
      <c r="O27" s="953">
        <f>'12-18л. РАСКЛАДКА'!S585</f>
        <v>5</v>
      </c>
      <c r="P27" s="2216">
        <f>'12-18л. РАСКЛАДКА'!S641</f>
        <v>0</v>
      </c>
      <c r="Q27" s="2251">
        <f t="shared" si="0"/>
        <v>42</v>
      </c>
      <c r="R27" s="2564">
        <f t="shared" si="1"/>
        <v>0</v>
      </c>
      <c r="S27" s="2243">
        <f t="shared" si="2"/>
        <v>42</v>
      </c>
      <c r="T27" s="2244">
        <v>10</v>
      </c>
      <c r="U27" s="3"/>
      <c r="Y27" s="927"/>
      <c r="Z27" s="13"/>
      <c r="AA27" s="1"/>
      <c r="AB27" s="928"/>
      <c r="AD27" s="2211"/>
    </row>
    <row r="28" spans="2:35">
      <c r="B28" s="596">
        <v>20</v>
      </c>
      <c r="C28" s="238" t="s">
        <v>55</v>
      </c>
      <c r="D28" s="1111">
        <v>12.25</v>
      </c>
      <c r="E28" s="1115">
        <f>'12-18л. РАСКЛАДКА'!S30</f>
        <v>18.2</v>
      </c>
      <c r="F28" s="951">
        <f>'12-18л. РАСКЛАДКА'!S89</f>
        <v>10</v>
      </c>
      <c r="G28" s="952">
        <f>'12-18л. РАСКЛАДКА'!S151</f>
        <v>10</v>
      </c>
      <c r="H28" s="950">
        <f>'12-18л. РАСКЛАДКА'!S208</f>
        <v>5</v>
      </c>
      <c r="I28" s="953">
        <f>'12-18л. РАСКЛАДКА'!S264</f>
        <v>22.08</v>
      </c>
      <c r="J28" s="1176">
        <f>'12-18л. РАСКЛАДКА'!S319</f>
        <v>9.3999999999999986</v>
      </c>
      <c r="K28" s="950">
        <f>'12-18л. РАСКЛАДКА'!S373</f>
        <v>6.76</v>
      </c>
      <c r="L28" s="953">
        <f>'12-18л. РАСКЛАДКА'!S424</f>
        <v>20.72</v>
      </c>
      <c r="M28" s="951">
        <f>'12-18л. РАСКЛАДКА'!S477</f>
        <v>5</v>
      </c>
      <c r="N28" s="951">
        <f>'12-18л. РАСКЛАДКА'!S532</f>
        <v>15.299999999999999</v>
      </c>
      <c r="O28" s="953">
        <f>'12-18л. РАСКЛАДКА'!S586</f>
        <v>11</v>
      </c>
      <c r="P28" s="2216">
        <f>'12-18л. РАСКЛАДКА'!S642</f>
        <v>13.54</v>
      </c>
      <c r="Q28" s="2251">
        <f t="shared" si="0"/>
        <v>147</v>
      </c>
      <c r="R28" s="2564">
        <f t="shared" si="1"/>
        <v>0</v>
      </c>
      <c r="S28" s="2243">
        <f t="shared" si="2"/>
        <v>147</v>
      </c>
      <c r="T28" s="2244">
        <v>35</v>
      </c>
      <c r="U28" s="3"/>
      <c r="Y28" s="927"/>
      <c r="Z28" s="13"/>
      <c r="AA28" s="1"/>
      <c r="AB28" s="928"/>
      <c r="AD28" s="2209"/>
    </row>
    <row r="29" spans="2:35">
      <c r="B29" s="596">
        <v>21</v>
      </c>
      <c r="C29" s="238" t="s">
        <v>56</v>
      </c>
      <c r="D29" s="1111">
        <v>6.3</v>
      </c>
      <c r="E29" s="1115">
        <f>'12-18л. РАСКЛАДКА'!S31</f>
        <v>7.2</v>
      </c>
      <c r="F29" s="951">
        <f>'12-18л. РАСКЛАДКА'!S90</f>
        <v>4.8</v>
      </c>
      <c r="G29" s="952">
        <f>'12-18л. РАСКЛАДКА'!S152</f>
        <v>9.8000000000000007</v>
      </c>
      <c r="H29" s="950">
        <f>'12-18л. РАСКЛАДКА'!S209</f>
        <v>7.2</v>
      </c>
      <c r="I29" s="953">
        <f>'12-18л. РАСКЛАДКА'!S265</f>
        <v>0</v>
      </c>
      <c r="J29" s="1176">
        <f>'12-18л. РАСКЛАДКА'!S320</f>
        <v>5</v>
      </c>
      <c r="K29" s="950">
        <f>'12-18л. РАСКЛАДКА'!S374</f>
        <v>9.4400000000000013</v>
      </c>
      <c r="L29" s="953">
        <f>'12-18л. РАСКЛАДКА'!S425</f>
        <v>3</v>
      </c>
      <c r="M29" s="951">
        <f>'12-18л. РАСКЛАДКА'!S478</f>
        <v>7</v>
      </c>
      <c r="N29" s="951">
        <f>'12-18л. РАСКЛАДКА'!S533</f>
        <v>5</v>
      </c>
      <c r="O29" s="953">
        <f>'12-18л. РАСКЛАДКА'!S587</f>
        <v>5</v>
      </c>
      <c r="P29" s="2216">
        <f>'12-18л. РАСКЛАДКА'!S643</f>
        <v>12.16</v>
      </c>
      <c r="Q29" s="2251">
        <f t="shared" si="0"/>
        <v>75.599999999999994</v>
      </c>
      <c r="R29" s="2564">
        <f t="shared" si="1"/>
        <v>0</v>
      </c>
      <c r="S29" s="2243">
        <f t="shared" si="2"/>
        <v>75.599999999999994</v>
      </c>
      <c r="T29" s="2244">
        <v>18</v>
      </c>
      <c r="U29" s="3"/>
      <c r="Y29" s="927"/>
      <c r="Z29" s="13"/>
      <c r="AA29" s="1"/>
      <c r="AB29" s="928"/>
      <c r="AD29" s="2211"/>
    </row>
    <row r="30" spans="2:35" ht="12" customHeight="1">
      <c r="B30" s="596">
        <v>22</v>
      </c>
      <c r="C30" s="238" t="s">
        <v>299</v>
      </c>
      <c r="D30" s="1111">
        <v>14</v>
      </c>
      <c r="E30" s="1115">
        <f>'12-18л. РАСКЛАДКА'!S32</f>
        <v>0</v>
      </c>
      <c r="F30" s="951">
        <f>'12-18л. РАСКЛАДКА'!S91</f>
        <v>117.28</v>
      </c>
      <c r="G30" s="952">
        <f>'12-18л. РАСКЛАДКА'!S153</f>
        <v>0</v>
      </c>
      <c r="H30" s="950">
        <f>'12-18л. РАСКЛАДКА'!S210</f>
        <v>0</v>
      </c>
      <c r="I30" s="953">
        <f>'12-18л. РАСКЛАДКА'!S266</f>
        <v>11.92</v>
      </c>
      <c r="J30" s="1176">
        <f>'12-18л. РАСКЛАДКА'!S321</f>
        <v>0</v>
      </c>
      <c r="K30" s="950">
        <f>'12-18л. РАСКЛАДКА'!S375</f>
        <v>0</v>
      </c>
      <c r="L30" s="953">
        <f>'12-18л. РАСКЛАДКА'!S426</f>
        <v>0</v>
      </c>
      <c r="M30" s="951">
        <f>'12-18л. РАСКЛАДКА'!S479</f>
        <v>0</v>
      </c>
      <c r="N30" s="951">
        <f>'12-18л. РАСКЛАДКА'!S534</f>
        <v>11.2</v>
      </c>
      <c r="O30" s="953">
        <f>'12-18л. РАСКЛАДКА'!S588</f>
        <v>0</v>
      </c>
      <c r="P30" s="2216">
        <f>'12-18л. РАСКЛАДКА'!S644</f>
        <v>27.6</v>
      </c>
      <c r="Q30" s="2251">
        <f t="shared" si="0"/>
        <v>167.99999999999997</v>
      </c>
      <c r="R30" s="2564">
        <f t="shared" si="1"/>
        <v>0</v>
      </c>
      <c r="S30" s="2243">
        <f t="shared" si="2"/>
        <v>168</v>
      </c>
      <c r="T30" s="2244">
        <v>40</v>
      </c>
      <c r="U30" s="3"/>
      <c r="Y30" s="927"/>
      <c r="Z30" s="13"/>
      <c r="AA30" s="1"/>
      <c r="AB30" s="928"/>
      <c r="AD30" s="2209"/>
    </row>
    <row r="31" spans="2:35" ht="13.5" customHeight="1">
      <c r="B31" s="596">
        <v>23</v>
      </c>
      <c r="C31" s="238" t="s">
        <v>57</v>
      </c>
      <c r="D31" s="1111">
        <v>12.25</v>
      </c>
      <c r="E31" s="1115">
        <f>'12-18л. РАСКЛАДКА'!S33</f>
        <v>21.1</v>
      </c>
      <c r="F31" s="951">
        <f>'12-18л. РАСКЛАДКА'!S92</f>
        <v>20.7</v>
      </c>
      <c r="G31" s="952">
        <f>'12-18л. РАСКЛАДКА'!S154</f>
        <v>7.7</v>
      </c>
      <c r="H31" s="950">
        <f>'12-18л. РАСКЛАДКА'!S211</f>
        <v>19.5</v>
      </c>
      <c r="I31" s="953">
        <f>'12-18л. РАСКЛАДКА'!S267</f>
        <v>0</v>
      </c>
      <c r="J31" s="1176">
        <f>'12-18л. РАСКЛАДКА'!S322</f>
        <v>0</v>
      </c>
      <c r="K31" s="950">
        <f>'12-18л. РАСКЛАДКА'!S376</f>
        <v>0</v>
      </c>
      <c r="L31" s="953">
        <f>'12-18л. РАСКЛАДКА'!S427</f>
        <v>3</v>
      </c>
      <c r="M31" s="951">
        <f>'12-18л. РАСКЛАДКА'!S480</f>
        <v>24</v>
      </c>
      <c r="N31" s="951">
        <f>'12-18л. РАСКЛАДКА'!S535</f>
        <v>7</v>
      </c>
      <c r="O31" s="953">
        <f>'12-18л. РАСКЛАДКА'!S589</f>
        <v>20</v>
      </c>
      <c r="P31" s="2216">
        <f>'12-18л. РАСКЛАДКА'!S645</f>
        <v>22.4</v>
      </c>
      <c r="Q31" s="2245">
        <f t="shared" si="0"/>
        <v>145.4</v>
      </c>
      <c r="R31" s="2564">
        <f t="shared" si="1"/>
        <v>-1.088435374149654</v>
      </c>
      <c r="S31" s="2388">
        <f t="shared" si="2"/>
        <v>147</v>
      </c>
      <c r="T31" s="2244">
        <v>35</v>
      </c>
      <c r="U31" s="3"/>
      <c r="Y31" s="927"/>
      <c r="Z31" s="13"/>
      <c r="AA31" s="1"/>
      <c r="AB31" s="928"/>
      <c r="AD31" s="2209"/>
    </row>
    <row r="32" spans="2:35" ht="12.75" customHeight="1">
      <c r="B32" s="596">
        <v>24</v>
      </c>
      <c r="C32" s="238" t="s">
        <v>58</v>
      </c>
      <c r="D32" s="1111">
        <v>5.25</v>
      </c>
      <c r="E32" s="1115">
        <f>'12-18л. РАСКЛАДКА'!S34</f>
        <v>0</v>
      </c>
      <c r="F32" s="951">
        <f>'12-18л. РАСКЛАДКА'!S93</f>
        <v>0</v>
      </c>
      <c r="G32" s="952">
        <f>'12-18л. РАСКЛАДКА'!S155</f>
        <v>0</v>
      </c>
      <c r="H32" s="950">
        <f>'12-18л. РАСКЛАДКА'!S212</f>
        <v>0</v>
      </c>
      <c r="I32" s="953">
        <f>'12-18л. РАСКЛАДКА'!S268</f>
        <v>0</v>
      </c>
      <c r="J32" s="1176">
        <f>'12-18л. РАСКЛАДКА'!S323</f>
        <v>0</v>
      </c>
      <c r="K32" s="950">
        <f>'12-18л. РАСКЛАДКА'!S377</f>
        <v>0</v>
      </c>
      <c r="L32" s="953">
        <f>'12-18л. РАСКЛАДКА'!S428</f>
        <v>0</v>
      </c>
      <c r="M32" s="951">
        <f>'12-18л. РАСКЛАДКА'!S481</f>
        <v>0</v>
      </c>
      <c r="N32" s="951">
        <f>'12-18л. РАСКЛАДКА'!S536</f>
        <v>60</v>
      </c>
      <c r="O32" s="953">
        <f>'12-18л. РАСКЛАДКА'!S590</f>
        <v>0</v>
      </c>
      <c r="P32" s="2216">
        <f>'12-18л. РАСКЛАДКА'!S646</f>
        <v>0</v>
      </c>
      <c r="Q32" s="2251">
        <f t="shared" si="0"/>
        <v>60</v>
      </c>
      <c r="R32" s="2564">
        <f t="shared" si="1"/>
        <v>-4.7619047619047592</v>
      </c>
      <c r="S32" s="2243">
        <f t="shared" si="2"/>
        <v>63</v>
      </c>
      <c r="T32" s="2244">
        <v>15</v>
      </c>
      <c r="U32" s="3"/>
      <c r="Y32" s="927"/>
      <c r="Z32" s="13"/>
      <c r="AA32" s="1"/>
      <c r="AB32" s="928"/>
      <c r="AD32" s="2213"/>
    </row>
    <row r="33" spans="2:30" ht="12" customHeight="1">
      <c r="B33" s="596">
        <v>25</v>
      </c>
      <c r="C33" s="238" t="s">
        <v>59</v>
      </c>
      <c r="D33" s="2217">
        <v>0.7</v>
      </c>
      <c r="E33" s="1115">
        <f>'12-18л. РАСКЛАДКА'!S35</f>
        <v>0</v>
      </c>
      <c r="F33" s="951">
        <f>'12-18л. РАСКЛАДКА'!S94</f>
        <v>0</v>
      </c>
      <c r="G33" s="952">
        <f>'12-18л. РАСКЛАДКА'!S156</f>
        <v>0</v>
      </c>
      <c r="H33" s="950">
        <f>'12-18л. РАСКЛАДКА'!S213</f>
        <v>0</v>
      </c>
      <c r="I33" s="953">
        <f>'12-18л. РАСКЛАДКА'!S269</f>
        <v>0</v>
      </c>
      <c r="J33" s="1176">
        <f>'12-18л. РАСКЛАДКА'!S324</f>
        <v>0</v>
      </c>
      <c r="K33" s="950">
        <f>'12-18л. РАСКЛАДКА'!S378</f>
        <v>0</v>
      </c>
      <c r="L33" s="953">
        <f>'12-18л. РАСКЛАДКА'!S429</f>
        <v>0</v>
      </c>
      <c r="M33" s="951">
        <f>'12-18л. РАСКЛАДКА'!S482</f>
        <v>0</v>
      </c>
      <c r="N33" s="951">
        <f>'12-18л. РАСКЛАДКА'!S537</f>
        <v>0</v>
      </c>
      <c r="O33" s="953">
        <f>'12-18л. РАСКЛАДКА'!S591</f>
        <v>0</v>
      </c>
      <c r="P33" s="2216">
        <f>'12-18л. РАСКЛАДКА'!S647</f>
        <v>0</v>
      </c>
      <c r="Q33" s="2248">
        <f t="shared" si="0"/>
        <v>0</v>
      </c>
      <c r="R33" s="2612">
        <f t="shared" si="1"/>
        <v>-100</v>
      </c>
      <c r="S33" s="2243">
        <f t="shared" si="2"/>
        <v>8.3999999999999986</v>
      </c>
      <c r="T33" s="2244">
        <v>2</v>
      </c>
      <c r="U33" s="3"/>
      <c r="Y33" s="927"/>
      <c r="Z33" s="13"/>
      <c r="AA33" s="1"/>
      <c r="AB33" s="928"/>
      <c r="AD33" s="2212"/>
    </row>
    <row r="34" spans="2:30" ht="15.75" customHeight="1">
      <c r="B34" s="596">
        <v>26</v>
      </c>
      <c r="C34" s="238" t="s">
        <v>300</v>
      </c>
      <c r="D34" s="1111">
        <v>0.42</v>
      </c>
      <c r="E34" s="1117">
        <f>'12-18л. РАСКЛАДКА'!S36</f>
        <v>2.7</v>
      </c>
      <c r="F34" s="951">
        <f>'12-18л. РАСКЛАДКА'!S95</f>
        <v>0</v>
      </c>
      <c r="G34" s="952">
        <f>'12-18л. РАСКЛАДКА'!S157</f>
        <v>0</v>
      </c>
      <c r="H34" s="950">
        <f>'12-18л. РАСКЛАДКА'!S214</f>
        <v>2.7</v>
      </c>
      <c r="I34" s="953">
        <f>'12-18л. РАСКЛАДКА'!S270</f>
        <v>0</v>
      </c>
      <c r="J34" s="1176">
        <f>'12-18л. РАСКЛАДКА'!S325</f>
        <v>0</v>
      </c>
      <c r="K34" s="950">
        <f>'12-18л. РАСКЛАДКА'!S379</f>
        <v>0</v>
      </c>
      <c r="L34" s="953">
        <f>'12-18л. РАСКЛАДКА'!S430</f>
        <v>0</v>
      </c>
      <c r="M34" s="951">
        <f>'12-18л. РАСКЛАДКА'!S483</f>
        <v>0</v>
      </c>
      <c r="N34" s="951">
        <f>'12-18л. РАСКЛАДКА'!S538</f>
        <v>0</v>
      </c>
      <c r="O34" s="953">
        <f>'12-18л. РАСКЛАДКА'!S592</f>
        <v>0</v>
      </c>
      <c r="P34" s="2216">
        <f>'12-18л. РАСКЛАДКА'!S648</f>
        <v>0</v>
      </c>
      <c r="Q34" s="2251">
        <f t="shared" si="0"/>
        <v>5.4</v>
      </c>
      <c r="R34" s="2564">
        <f t="shared" si="1"/>
        <v>7.1428571428571388</v>
      </c>
      <c r="S34" s="2243">
        <f t="shared" si="2"/>
        <v>5.04</v>
      </c>
      <c r="T34" s="2244">
        <v>1.2</v>
      </c>
      <c r="U34" s="1029"/>
      <c r="Y34" s="927"/>
      <c r="Z34" s="13"/>
      <c r="AA34" s="1"/>
      <c r="AB34" s="928"/>
      <c r="AD34" s="2209"/>
    </row>
    <row r="35" spans="2:30" ht="12" customHeight="1">
      <c r="B35" s="596">
        <v>27</v>
      </c>
      <c r="C35" s="238" t="s">
        <v>142</v>
      </c>
      <c r="D35" s="1111">
        <v>0.7</v>
      </c>
      <c r="E35" s="1115">
        <f>'12-18л. РАСКЛАДКА'!S37</f>
        <v>0</v>
      </c>
      <c r="F35" s="1118">
        <f>'12-18л. РАСКЛАДКА'!S96</f>
        <v>4.2</v>
      </c>
      <c r="G35" s="952">
        <f>'12-18л. РАСКЛАДКА'!S158</f>
        <v>0</v>
      </c>
      <c r="H35" s="950">
        <f>'12-18л. РАСКЛАДКА'!S215</f>
        <v>0</v>
      </c>
      <c r="I35" s="953">
        <f>'12-18л. РАСКЛАДКА'!S271</f>
        <v>0</v>
      </c>
      <c r="J35" s="1176">
        <f>'12-18л. РАСКЛАДКА'!S326</f>
        <v>0</v>
      </c>
      <c r="K35" s="950">
        <f>'12-18л. РАСКЛАДКА'!S380</f>
        <v>0</v>
      </c>
      <c r="L35" s="953">
        <f>'12-18л. РАСКЛАДКА'!S431</f>
        <v>0</v>
      </c>
      <c r="M35" s="951">
        <f>'12-18л. РАСКЛАДКА'!S484</f>
        <v>0</v>
      </c>
      <c r="N35" s="1116">
        <f>'12-18л. РАСКЛАДКА'!S539</f>
        <v>0</v>
      </c>
      <c r="O35" s="953">
        <f>'12-18л. РАСКЛАДКА'!S593</f>
        <v>4.2</v>
      </c>
      <c r="P35" s="2216">
        <f>'12-18л. РАСКЛАДКА'!S649</f>
        <v>0</v>
      </c>
      <c r="Q35" s="2251">
        <f t="shared" si="0"/>
        <v>8.4</v>
      </c>
      <c r="R35" s="2564">
        <f t="shared" si="1"/>
        <v>0</v>
      </c>
      <c r="S35" s="2243">
        <f t="shared" si="2"/>
        <v>8.3999999999999986</v>
      </c>
      <c r="T35" s="2244">
        <v>2</v>
      </c>
      <c r="U35" s="3"/>
      <c r="Y35" s="927"/>
      <c r="Z35" s="13"/>
      <c r="AA35" s="1"/>
      <c r="AB35" s="928"/>
      <c r="AD35" s="2213"/>
    </row>
    <row r="36" spans="2:30" ht="10.5" customHeight="1">
      <c r="B36" s="596">
        <v>28</v>
      </c>
      <c r="C36" s="238" t="s">
        <v>60</v>
      </c>
      <c r="D36" s="1111">
        <v>0.105</v>
      </c>
      <c r="E36" s="1115">
        <f>'12-18л. РАСКЛАДКА'!S38</f>
        <v>0</v>
      </c>
      <c r="F36" s="951">
        <f>'12-18л. РАСКЛАДКА'!S97</f>
        <v>0</v>
      </c>
      <c r="G36" s="952">
        <f>'12-18л. РАСКЛАДКА'!S159</f>
        <v>0</v>
      </c>
      <c r="H36" s="950">
        <f>'12-18л. РАСКЛАДКА'!S216</f>
        <v>0</v>
      </c>
      <c r="I36" s="953">
        <f>'12-18л. РАСКЛАДКА'!S272</f>
        <v>0</v>
      </c>
      <c r="J36" s="1176">
        <f>'12-18л. РАСКЛАДКА'!S327</f>
        <v>0</v>
      </c>
      <c r="K36" s="950">
        <f>'12-18л. РАСКЛАДКА'!S381</f>
        <v>0</v>
      </c>
      <c r="L36" s="953">
        <f>'12-18л. РАСКЛАДКА'!S432</f>
        <v>0</v>
      </c>
      <c r="M36" s="951">
        <f>'12-18л. РАСКЛАДКА'!S485</f>
        <v>0</v>
      </c>
      <c r="N36" s="951">
        <f>'12-18л. РАСКЛАДКА'!S540</f>
        <v>0</v>
      </c>
      <c r="O36" s="953">
        <f>'12-18л. РАСКЛАДКА'!S594</f>
        <v>0</v>
      </c>
      <c r="P36" s="2216">
        <f>'12-18л. РАСКЛАДКА'!S650</f>
        <v>0</v>
      </c>
      <c r="Q36" s="2251">
        <f t="shared" si="0"/>
        <v>0</v>
      </c>
      <c r="R36" s="2612">
        <f t="shared" si="1"/>
        <v>-100</v>
      </c>
      <c r="S36" s="2243">
        <f t="shared" si="2"/>
        <v>1.26</v>
      </c>
      <c r="T36" s="2244">
        <v>0.3</v>
      </c>
      <c r="U36" s="3"/>
      <c r="Y36" s="927"/>
      <c r="Z36" s="13"/>
      <c r="AA36" s="1"/>
      <c r="AB36" s="928"/>
      <c r="AD36" s="2218"/>
    </row>
    <row r="37" spans="2:30" ht="12.75" customHeight="1">
      <c r="B37" s="596">
        <v>29</v>
      </c>
      <c r="C37" s="641" t="s">
        <v>301</v>
      </c>
      <c r="D37" s="1111">
        <v>1.75</v>
      </c>
      <c r="E37" s="1115">
        <f>'12-18л. РАСКЛАДКА'!S39</f>
        <v>2.4000000000000004</v>
      </c>
      <c r="F37" s="951">
        <f>'12-18л. РАСКЛАДКА'!S98</f>
        <v>1.7</v>
      </c>
      <c r="G37" s="952">
        <f>'12-18л. РАСКЛАДКА'!S160</f>
        <v>1.3</v>
      </c>
      <c r="H37" s="950">
        <f>'12-18л. РАСКЛАДКА'!S217</f>
        <v>1.1000000000000001</v>
      </c>
      <c r="I37" s="953">
        <f>'12-18л. РАСКЛАДКА'!S273</f>
        <v>2.04</v>
      </c>
      <c r="J37" s="1176">
        <f>'12-18л. РАСКЛАДКА'!S328</f>
        <v>2.35</v>
      </c>
      <c r="K37" s="950">
        <f>'12-18л. РАСКЛАДКА'!S382</f>
        <v>1.44</v>
      </c>
      <c r="L37" s="953">
        <f>'12-18л. РАСКЛАДКА'!S433</f>
        <v>1.62</v>
      </c>
      <c r="M37" s="951">
        <f>'12-18л. РАСКЛАДКА'!S486</f>
        <v>1.1000000000000001</v>
      </c>
      <c r="N37" s="951">
        <f>'12-18л. РАСКЛАДКА'!S541</f>
        <v>1.9500000000000002</v>
      </c>
      <c r="O37" s="953">
        <f>'12-18л. РАСКЛАДКА'!S595</f>
        <v>2.09</v>
      </c>
      <c r="P37" s="2216">
        <f>'12-18л. РАСКЛАДКА'!S651</f>
        <v>1.9100000000000001</v>
      </c>
      <c r="Q37" s="2251">
        <f t="shared" si="0"/>
        <v>21</v>
      </c>
      <c r="R37" s="2564">
        <f t="shared" si="1"/>
        <v>0</v>
      </c>
      <c r="S37" s="2243">
        <f t="shared" si="2"/>
        <v>21</v>
      </c>
      <c r="T37" s="2244">
        <v>5</v>
      </c>
      <c r="U37" s="3"/>
      <c r="Y37" s="927"/>
      <c r="Z37" s="13"/>
      <c r="AA37" s="1"/>
      <c r="AB37" s="928"/>
      <c r="AD37" s="2211"/>
    </row>
    <row r="38" spans="2:30" ht="13.5" customHeight="1">
      <c r="B38" s="596">
        <v>30</v>
      </c>
      <c r="C38" s="238" t="s">
        <v>143</v>
      </c>
      <c r="D38" s="1111">
        <v>1.4</v>
      </c>
      <c r="E38" s="1115">
        <f>'12-18л. РАСКЛАДКА'!S40</f>
        <v>0</v>
      </c>
      <c r="F38" s="951">
        <f>'12-18л. РАСКЛАДКА'!S99</f>
        <v>0</v>
      </c>
      <c r="G38" s="952">
        <f>'12-18л. РАСКЛАДКА'!S161</f>
        <v>0</v>
      </c>
      <c r="H38" s="950">
        <f>'12-18л. РАСКЛАДКА'!S218</f>
        <v>0</v>
      </c>
      <c r="I38" s="953">
        <f>'12-18л. РАСКЛАДКА'!S274</f>
        <v>4.4000000000000004</v>
      </c>
      <c r="J38" s="1176">
        <f>'12-18л. РАСКЛАДКА'!S329</f>
        <v>0</v>
      </c>
      <c r="K38" s="950">
        <f>'12-18л. РАСКЛАДКА'!S383</f>
        <v>0</v>
      </c>
      <c r="L38" s="953">
        <f>'12-18л. РАСКЛАДКА'!S434</f>
        <v>0</v>
      </c>
      <c r="M38" s="951">
        <f>'12-18л. РАСКЛАДКА'!S487</f>
        <v>10</v>
      </c>
      <c r="N38" s="1116">
        <f>'12-18л. РАСКЛАДКА'!S542</f>
        <v>4.4000000000000004</v>
      </c>
      <c r="O38" s="953">
        <f>'12-18л. РАСКЛАДКА'!S596</f>
        <v>0</v>
      </c>
      <c r="P38" s="2216">
        <f>'12-18л. РАСКЛАДКА'!S652</f>
        <v>0</v>
      </c>
      <c r="Q38" s="2245">
        <f t="shared" si="0"/>
        <v>18.8</v>
      </c>
      <c r="R38" s="2564">
        <f t="shared" si="1"/>
        <v>11.904761904761926</v>
      </c>
      <c r="S38" s="2243">
        <f t="shared" si="2"/>
        <v>16.799999999999997</v>
      </c>
      <c r="T38" s="2244">
        <v>4</v>
      </c>
      <c r="U38" s="3"/>
      <c r="Y38" s="927"/>
      <c r="Z38" s="13"/>
      <c r="AA38" s="1"/>
      <c r="AB38" s="928"/>
      <c r="AD38" s="2213"/>
    </row>
    <row r="39" spans="2:30" ht="14.25" customHeight="1">
      <c r="B39" s="596">
        <v>31</v>
      </c>
      <c r="C39" s="238" t="s">
        <v>144</v>
      </c>
      <c r="D39" s="1111">
        <v>0.7</v>
      </c>
      <c r="E39" s="1115">
        <f>'12-18л. РАСКЛАДКА'!S41</f>
        <v>1.1112000000000002</v>
      </c>
      <c r="F39" s="951">
        <f>'12-18л. РАСКЛАДКА'!S100</f>
        <v>0.31</v>
      </c>
      <c r="G39" s="967">
        <f>'12-18л. РАСКЛАДКА'!S162</f>
        <v>1.571</v>
      </c>
      <c r="H39" s="950">
        <f>'12-18л. РАСКЛАДКА'!S219</f>
        <v>1.0289999999999999</v>
      </c>
      <c r="I39" s="953">
        <f>'12-18л. РАСКЛАДКА'!S275</f>
        <v>1.0999999999999999E-2</v>
      </c>
      <c r="J39" s="1176">
        <f>'12-18л. РАСКЛАДКА'!S330</f>
        <v>0.01</v>
      </c>
      <c r="K39" s="950">
        <f>'12-18л. РАСКЛАДКА'!S384</f>
        <v>1.8150000000000003E-2</v>
      </c>
      <c r="L39" s="953">
        <f>'12-18л. РАСКЛАДКА'!S435</f>
        <v>1.1050000000000001E-2</v>
      </c>
      <c r="M39" s="966">
        <f>'12-18л. РАСКЛАДКА'!S488</f>
        <v>1.3</v>
      </c>
      <c r="N39" s="968">
        <f>'12-18л. РАСКЛАДКА'!S543</f>
        <v>1.0999999999999999E-2</v>
      </c>
      <c r="O39" s="953">
        <f>'12-18л. РАСКЛАДКА'!S597</f>
        <v>1.3140000000000001</v>
      </c>
      <c r="P39" s="2216">
        <f>'12-18л. РАСКЛАДКА'!S653</f>
        <v>1.7036</v>
      </c>
      <c r="Q39" s="2248">
        <f t="shared" si="0"/>
        <v>8.4</v>
      </c>
      <c r="R39" s="2564">
        <f t="shared" si="1"/>
        <v>0</v>
      </c>
      <c r="S39" s="2243">
        <f t="shared" si="2"/>
        <v>8.3999999999999986</v>
      </c>
      <c r="T39" s="2244">
        <v>2</v>
      </c>
      <c r="U39" s="3"/>
      <c r="Y39" s="927"/>
      <c r="Z39" s="13"/>
      <c r="AA39" s="1"/>
      <c r="AB39" s="928"/>
      <c r="AD39" s="2214"/>
    </row>
    <row r="40" spans="2:30" ht="15" customHeight="1">
      <c r="B40" s="596">
        <v>32</v>
      </c>
      <c r="C40" s="238" t="s">
        <v>62</v>
      </c>
      <c r="D40" s="1111">
        <v>31.5</v>
      </c>
      <c r="E40" s="1119">
        <f>'12-18л. МЕНЮ  '!E85</f>
        <v>35.5396</v>
      </c>
      <c r="F40" s="955">
        <f>'12-18л. МЕНЮ  '!E139</f>
        <v>29.913</v>
      </c>
      <c r="G40" s="955">
        <f>'12-18л. МЕНЮ  '!E196</f>
        <v>30.848299999999998</v>
      </c>
      <c r="H40" s="955">
        <f>'12-18л. МЕНЮ  '!E249</f>
        <v>33.146000000000001</v>
      </c>
      <c r="I40" s="955">
        <f>'12-18л. МЕНЮ  '!E304</f>
        <v>31.764000000000003</v>
      </c>
      <c r="J40" s="848">
        <f>'12-18л. МЕНЮ  '!E359</f>
        <v>27.789100000000001</v>
      </c>
      <c r="K40" s="955">
        <f>'12-18л. МЕНЮ  '!E473</f>
        <v>31.319000000000003</v>
      </c>
      <c r="L40" s="955">
        <f>'12-18л. МЕНЮ  '!E527</f>
        <v>31.832000000000004</v>
      </c>
      <c r="M40" s="955">
        <f>'12-18л. МЕНЮ  '!E581</f>
        <v>29.199000000000002</v>
      </c>
      <c r="N40" s="955">
        <f>'12-18л. МЕНЮ  '!E636</f>
        <v>30.804000000000002</v>
      </c>
      <c r="O40" s="955">
        <f>'12-18л. МЕНЮ  '!E689</f>
        <v>31.707750000000001</v>
      </c>
      <c r="P40" s="1508">
        <f>'12-18л. МЕНЮ  '!E746</f>
        <v>34.138249999999999</v>
      </c>
      <c r="Q40" s="2248">
        <f t="shared" si="0"/>
        <v>378</v>
      </c>
      <c r="R40" s="2564">
        <f t="shared" si="1"/>
        <v>0</v>
      </c>
      <c r="S40" s="2243">
        <f t="shared" si="2"/>
        <v>378</v>
      </c>
      <c r="T40" s="2244">
        <v>90</v>
      </c>
      <c r="U40" s="3"/>
      <c r="Y40" s="927"/>
      <c r="Z40" s="13"/>
      <c r="AA40" s="1"/>
      <c r="AB40" s="928"/>
      <c r="AD40" s="2209"/>
    </row>
    <row r="41" spans="2:30" ht="12" customHeight="1">
      <c r="B41" s="596">
        <v>33</v>
      </c>
      <c r="C41" s="238" t="s">
        <v>63</v>
      </c>
      <c r="D41" s="1111">
        <v>32.200000000000003</v>
      </c>
      <c r="E41" s="1119">
        <f>'12-18л. МЕНЮ  '!F85</f>
        <v>32.600999999999999</v>
      </c>
      <c r="F41" s="955">
        <f>'12-18л. МЕНЮ  '!F139</f>
        <v>31.683999999999997</v>
      </c>
      <c r="G41" s="955">
        <f>'12-18л. МЕНЮ  '!F196</f>
        <v>32.158000000000001</v>
      </c>
      <c r="H41" s="955">
        <f>'12-18л. МЕНЮ  '!F249</f>
        <v>32.429000000000002</v>
      </c>
      <c r="I41" s="955">
        <f>'12-18л. МЕНЮ  '!F304</f>
        <v>31.850999999999999</v>
      </c>
      <c r="J41" s="1176">
        <f>'12-18л. МЕНЮ  '!F359</f>
        <v>32.476999999999997</v>
      </c>
      <c r="K41" s="955">
        <f>'12-18л. МЕНЮ  '!F473</f>
        <v>32.358999999999995</v>
      </c>
      <c r="L41" s="955">
        <f>'12-18л. МЕНЮ  '!F527</f>
        <v>34.365000000000002</v>
      </c>
      <c r="M41" s="955">
        <f>'12-18л. МЕНЮ  '!F581</f>
        <v>30.111999999999998</v>
      </c>
      <c r="N41" s="955">
        <f>'12-18л. МЕНЮ  '!F636</f>
        <v>32.110000000000007</v>
      </c>
      <c r="O41" s="955">
        <f>'12-18л. МЕНЮ  '!F689</f>
        <v>32.086999999999996</v>
      </c>
      <c r="P41" s="1508">
        <f>'12-18л. МЕНЮ  '!F746</f>
        <v>32.166999999999994</v>
      </c>
      <c r="Q41" s="2248">
        <f t="shared" si="0"/>
        <v>386.40000000000003</v>
      </c>
      <c r="R41" s="2564">
        <f t="shared" si="1"/>
        <v>0</v>
      </c>
      <c r="S41" s="2243">
        <f t="shared" si="2"/>
        <v>386.40000000000003</v>
      </c>
      <c r="T41" s="2244">
        <v>92</v>
      </c>
      <c r="U41" s="3"/>
      <c r="Y41" s="927"/>
      <c r="Z41" s="13"/>
      <c r="AA41" s="1"/>
      <c r="AB41" s="928"/>
      <c r="AD41" s="2209"/>
    </row>
    <row r="42" spans="2:30" ht="12.75" customHeight="1">
      <c r="B42" s="596">
        <v>34</v>
      </c>
      <c r="C42" s="238" t="s">
        <v>64</v>
      </c>
      <c r="D42" s="1111">
        <v>134.05000000000001</v>
      </c>
      <c r="E42" s="1120">
        <f>'12-18л. МЕНЮ  '!G85</f>
        <v>132.7704</v>
      </c>
      <c r="F42" s="955">
        <f>'12-18л. МЕНЮ  '!G139</f>
        <v>136.82300000000001</v>
      </c>
      <c r="G42" s="955">
        <f>'12-18л. МЕНЮ  '!G196</f>
        <v>133.524</v>
      </c>
      <c r="H42" s="955">
        <f>'12-18л. МЕНЮ  '!G249</f>
        <v>132.70760000000001</v>
      </c>
      <c r="I42" s="955">
        <f>'12-18л. МЕНЮ  '!G304</f>
        <v>134.63900000000001</v>
      </c>
      <c r="J42" s="848">
        <f>'12-18л. МЕНЮ  '!G359</f>
        <v>133.83600000000001</v>
      </c>
      <c r="K42" s="955">
        <f>'12-18л. МЕНЮ  '!G473</f>
        <v>133.99300000000002</v>
      </c>
      <c r="L42" s="955">
        <f>'12-18л. МЕНЮ  '!G527</f>
        <v>128.28200000000001</v>
      </c>
      <c r="M42" s="955">
        <f>'12-18л. МЕНЮ  '!G581</f>
        <v>139.286</v>
      </c>
      <c r="N42" s="955">
        <f>'12-18л. МЕНЮ  '!G636</f>
        <v>134.93600000000001</v>
      </c>
      <c r="O42" s="955">
        <f>'12-18л. МЕНЮ  '!G689</f>
        <v>133.99099999999999</v>
      </c>
      <c r="P42" s="1508">
        <f>'12-18л. МЕНЮ  '!G746</f>
        <v>133.81199999999998</v>
      </c>
      <c r="Q42" s="2248">
        <f t="shared" si="0"/>
        <v>1608.6</v>
      </c>
      <c r="R42" s="2564">
        <f t="shared" si="1"/>
        <v>0</v>
      </c>
      <c r="S42" s="2243">
        <f t="shared" si="2"/>
        <v>1608.6000000000001</v>
      </c>
      <c r="T42" s="2244">
        <v>383</v>
      </c>
      <c r="U42" s="3"/>
      <c r="Y42" s="927"/>
      <c r="Z42" s="13"/>
      <c r="AA42" s="1"/>
      <c r="AB42" s="928"/>
      <c r="AD42" s="2209"/>
    </row>
    <row r="43" spans="2:30" ht="15" customHeight="1" thickBot="1">
      <c r="B43" s="642">
        <v>35</v>
      </c>
      <c r="C43" s="643" t="s">
        <v>65</v>
      </c>
      <c r="D43" s="1112">
        <v>952</v>
      </c>
      <c r="E43" s="1121">
        <f>'12-18л. МЕНЮ  '!H85</f>
        <v>949.38800000000015</v>
      </c>
      <c r="F43" s="958">
        <f>'12-18л. МЕНЮ  '!H139</f>
        <v>956.62399999999991</v>
      </c>
      <c r="G43" s="958">
        <f>'12-18л. МЕНЮ  '!H196</f>
        <v>950.77120000000014</v>
      </c>
      <c r="H43" s="958">
        <f>'12-18л. МЕНЮ  '!H249</f>
        <v>953.58480000000009</v>
      </c>
      <c r="I43" s="958">
        <f>'12-18л. МЕНЮ  '!H304</f>
        <v>952.17</v>
      </c>
      <c r="J43" s="485">
        <f>'12-18л. МЕНЮ  '!H359</f>
        <v>949.4620000000001</v>
      </c>
      <c r="K43" s="958">
        <f>'12-18л. МЕНЮ  '!H473</f>
        <v>952.07899999999995</v>
      </c>
      <c r="L43" s="959">
        <f>'12-18л. МЕНЮ  '!H527</f>
        <v>952.60000000000014</v>
      </c>
      <c r="M43" s="958">
        <f>'12-18л. МЕНЮ  '!H581</f>
        <v>950.78500000000008</v>
      </c>
      <c r="N43" s="958">
        <f>'12-18л. МЕНЮ  '!H636</f>
        <v>952.15</v>
      </c>
      <c r="O43" s="958">
        <f>'12-18л. МЕНЮ  '!H689</f>
        <v>954.33800000000019</v>
      </c>
      <c r="P43" s="1509">
        <f>'12-18л. МЕНЮ  '!H746</f>
        <v>950.048</v>
      </c>
      <c r="Q43" s="2249">
        <f t="shared" si="0"/>
        <v>11424.000000000002</v>
      </c>
      <c r="R43" s="2616">
        <f t="shared" si="1"/>
        <v>0</v>
      </c>
      <c r="S43" s="2246">
        <f t="shared" si="2"/>
        <v>11424</v>
      </c>
      <c r="T43" s="2247">
        <v>2720</v>
      </c>
      <c r="U43" s="3"/>
      <c r="Y43" s="945"/>
      <c r="Z43" s="13"/>
      <c r="AA43" s="946"/>
      <c r="AB43" s="928"/>
      <c r="AD43" s="2209"/>
    </row>
    <row r="44" spans="2:30">
      <c r="B44" t="s">
        <v>304</v>
      </c>
    </row>
    <row r="45" spans="2:30">
      <c r="B45" t="s">
        <v>305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2231"/>
      <c r="R45" s="329"/>
    </row>
    <row r="46" spans="2:30">
      <c r="B46" t="s">
        <v>306</v>
      </c>
      <c r="O46" s="329"/>
      <c r="P46" s="329"/>
      <c r="Q46" s="2231"/>
      <c r="R46" s="329"/>
    </row>
    <row r="47" spans="2:30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2"/>
    </row>
    <row r="48" spans="2:30">
      <c r="B48" s="1" t="s">
        <v>307</v>
      </c>
      <c r="Q48" s="22"/>
    </row>
    <row r="49" spans="2:21">
      <c r="B49" t="s">
        <v>308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2230"/>
      <c r="R49" s="11"/>
    </row>
    <row r="50" spans="2:2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2231"/>
      <c r="R50" s="329"/>
      <c r="U50" s="207"/>
    </row>
    <row r="58" spans="2:21" ht="13.5" customHeight="1"/>
    <row r="60" spans="2:21" ht="13.5" customHeight="1"/>
    <row r="61" spans="2:21" ht="12" customHeight="1"/>
    <row r="63" spans="2:21" ht="12.75" customHeight="1"/>
    <row r="65" spans="2:21" ht="12.75" customHeight="1"/>
    <row r="67" spans="2:21" ht="12.75" customHeight="1"/>
    <row r="69" spans="2:21" ht="12.75" customHeight="1"/>
    <row r="70" spans="2:21" hidden="1"/>
    <row r="78" spans="2:21">
      <c r="B78" s="94"/>
      <c r="D78" s="94"/>
    </row>
    <row r="79" spans="2:21">
      <c r="C79" s="13"/>
      <c r="D79" s="22"/>
      <c r="E79" s="14"/>
      <c r="F79" s="14"/>
      <c r="G79" s="14"/>
      <c r="H79" s="14"/>
      <c r="I79" s="14"/>
      <c r="J79" s="14"/>
      <c r="K79" s="14"/>
      <c r="L79" s="14"/>
      <c r="M79" s="13"/>
      <c r="N79" s="13"/>
      <c r="O79" s="9"/>
      <c r="P79" s="9"/>
      <c r="Q79" s="13"/>
      <c r="R79" s="22"/>
      <c r="T79" s="22"/>
      <c r="U79" s="13"/>
    </row>
    <row r="80" spans="2:21">
      <c r="C80" s="13"/>
      <c r="D80" s="9"/>
      <c r="E80" s="14"/>
      <c r="F80" s="14"/>
      <c r="G80" s="14"/>
      <c r="H80" s="14"/>
      <c r="I80" s="14"/>
      <c r="J80" s="14"/>
      <c r="K80" s="14"/>
      <c r="L80" s="14"/>
      <c r="M80" s="13"/>
      <c r="N80" s="13"/>
      <c r="O80" s="9"/>
      <c r="P80" s="9"/>
      <c r="Q80" s="13"/>
      <c r="R80" s="22"/>
      <c r="T80" s="22"/>
      <c r="U80" s="13"/>
    </row>
    <row r="81" spans="2:28">
      <c r="C81" s="22"/>
      <c r="D81" s="22"/>
      <c r="E81" s="14"/>
      <c r="F81" s="14"/>
      <c r="G81" s="14"/>
      <c r="H81" s="14"/>
      <c r="K81" s="14"/>
      <c r="L81" s="48"/>
      <c r="M81" s="13"/>
      <c r="N81" s="13"/>
      <c r="O81" s="9"/>
      <c r="P81" s="9"/>
      <c r="Q81" s="22"/>
      <c r="R81" s="22"/>
      <c r="T81" s="22"/>
      <c r="U81" s="13"/>
      <c r="AB81" s="922"/>
    </row>
    <row r="82" spans="2:28">
      <c r="C82" s="13"/>
      <c r="D82" s="1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9"/>
      <c r="P82" s="9"/>
      <c r="Q82" s="22"/>
      <c r="R82" s="22"/>
      <c r="T82" s="22"/>
      <c r="U82" s="13"/>
      <c r="Z82" s="150"/>
      <c r="AB82" s="922"/>
    </row>
    <row r="83" spans="2:28">
      <c r="C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9"/>
      <c r="P83" s="9"/>
      <c r="Q83" s="13"/>
      <c r="R83" s="22"/>
      <c r="T83" s="22"/>
      <c r="U83" s="13"/>
      <c r="Z83" s="150"/>
      <c r="AB83" s="923"/>
    </row>
    <row r="84" spans="2:28">
      <c r="C84" s="13"/>
      <c r="D84" s="14"/>
      <c r="E84" s="13"/>
      <c r="F84" s="13"/>
      <c r="G84" s="13"/>
      <c r="H84" s="13"/>
      <c r="I84" s="4"/>
      <c r="J84" s="13"/>
      <c r="K84" s="13"/>
      <c r="L84" s="13"/>
      <c r="M84" s="13"/>
      <c r="N84" s="4"/>
      <c r="O84" s="9"/>
      <c r="P84" s="9"/>
      <c r="Q84" s="14"/>
      <c r="R84" s="22"/>
      <c r="S84" s="13"/>
      <c r="T84" s="22"/>
      <c r="U84" s="13"/>
      <c r="W84" s="345"/>
      <c r="X84" s="22"/>
      <c r="Y84" s="3"/>
      <c r="Z84" s="924"/>
      <c r="AB84" s="923"/>
    </row>
    <row r="85" spans="2:28">
      <c r="B85" s="3"/>
      <c r="C85" s="13"/>
      <c r="D85" s="925"/>
      <c r="E85" s="940"/>
      <c r="F85" s="926"/>
      <c r="G85" s="926"/>
      <c r="H85" s="926"/>
      <c r="I85" s="926"/>
      <c r="J85" s="926"/>
      <c r="K85" s="926"/>
      <c r="L85" s="926"/>
      <c r="M85" s="926"/>
      <c r="N85" s="926"/>
      <c r="O85" s="925"/>
      <c r="P85" s="22"/>
      <c r="Q85" s="22"/>
      <c r="S85" s="64"/>
      <c r="W85" s="927"/>
      <c r="X85" s="13"/>
      <c r="Y85" s="1"/>
      <c r="Z85" s="928"/>
      <c r="AB85" s="929"/>
    </row>
    <row r="86" spans="2:28">
      <c r="B86" s="3"/>
      <c r="C86" s="13"/>
      <c r="D86" s="925"/>
      <c r="E86" s="940"/>
      <c r="F86" s="926"/>
      <c r="G86" s="926"/>
      <c r="H86" s="926"/>
      <c r="I86" s="926"/>
      <c r="J86" s="926"/>
      <c r="K86" s="926"/>
      <c r="L86" s="926"/>
      <c r="M86" s="926"/>
      <c r="N86" s="926"/>
      <c r="O86" s="930"/>
      <c r="P86" s="107"/>
      <c r="Q86" s="22"/>
      <c r="W86" s="927"/>
      <c r="X86" s="13"/>
      <c r="Y86" s="1"/>
      <c r="Z86" s="928"/>
      <c r="AB86" s="929"/>
    </row>
    <row r="87" spans="2:28">
      <c r="B87" s="3"/>
      <c r="C87" s="13"/>
      <c r="D87" s="925"/>
      <c r="E87" s="940"/>
      <c r="F87" s="926"/>
      <c r="G87" s="926"/>
      <c r="H87" s="940"/>
      <c r="I87" s="926"/>
      <c r="J87" s="926"/>
      <c r="K87" s="940"/>
      <c r="L87" s="926"/>
      <c r="M87" s="926"/>
      <c r="N87" s="926"/>
      <c r="O87" s="925"/>
      <c r="P87" s="107"/>
      <c r="Q87" s="22"/>
      <c r="W87" s="927"/>
      <c r="X87" s="13"/>
      <c r="Y87" s="1"/>
      <c r="Z87" s="928"/>
      <c r="AB87" s="931"/>
    </row>
    <row r="88" spans="2:28">
      <c r="B88" s="3"/>
      <c r="C88" s="13"/>
      <c r="D88" s="925"/>
      <c r="E88" s="940"/>
      <c r="F88" s="926"/>
      <c r="G88" s="926"/>
      <c r="H88" s="926"/>
      <c r="I88" s="926"/>
      <c r="J88" s="926"/>
      <c r="K88" s="926"/>
      <c r="L88" s="926"/>
      <c r="M88" s="926"/>
      <c r="N88" s="940"/>
      <c r="O88" s="932"/>
      <c r="P88" s="107"/>
      <c r="Q88" s="22"/>
      <c r="W88" s="927"/>
      <c r="X88" s="13"/>
      <c r="Y88" s="1"/>
      <c r="Z88" s="928"/>
      <c r="AB88" s="929"/>
    </row>
    <row r="89" spans="2:28">
      <c r="B89" s="3"/>
      <c r="C89" s="13"/>
      <c r="D89" s="925"/>
      <c r="E89" s="940"/>
      <c r="F89" s="926"/>
      <c r="G89" s="926"/>
      <c r="H89" s="926"/>
      <c r="I89" s="926"/>
      <c r="J89" s="926"/>
      <c r="K89" s="926"/>
      <c r="L89" s="926"/>
      <c r="M89" s="926"/>
      <c r="N89" s="926"/>
      <c r="O89" s="925"/>
      <c r="P89" s="107"/>
      <c r="Q89" s="22"/>
      <c r="W89" s="927"/>
      <c r="X89" s="13"/>
      <c r="Y89" s="1"/>
      <c r="Z89" s="928"/>
      <c r="AB89" s="933"/>
    </row>
    <row r="90" spans="2:28">
      <c r="B90" s="3"/>
      <c r="C90" s="13"/>
      <c r="D90" s="925"/>
      <c r="E90" s="940"/>
      <c r="F90" s="926"/>
      <c r="G90" s="926"/>
      <c r="H90" s="926"/>
      <c r="I90" s="926"/>
      <c r="J90" s="926"/>
      <c r="K90" s="926"/>
      <c r="L90" s="926"/>
      <c r="M90" s="926"/>
      <c r="N90" s="926"/>
      <c r="O90" s="925"/>
      <c r="P90" s="107"/>
      <c r="Q90" s="22"/>
      <c r="W90" s="927"/>
      <c r="X90" s="13"/>
      <c r="Y90" s="1"/>
      <c r="Z90" s="928"/>
      <c r="AB90" s="931"/>
    </row>
    <row r="91" spans="2:28">
      <c r="B91" s="3"/>
      <c r="C91" s="13"/>
      <c r="D91" s="925"/>
      <c r="E91" s="940"/>
      <c r="F91" s="926"/>
      <c r="G91" s="9"/>
      <c r="H91" s="935"/>
      <c r="I91" s="940"/>
      <c r="J91" s="926"/>
      <c r="K91" s="926"/>
      <c r="L91" s="926"/>
      <c r="M91" s="926"/>
      <c r="N91" s="926"/>
      <c r="O91" s="934"/>
      <c r="P91" s="107"/>
      <c r="Q91" s="22"/>
      <c r="W91" s="927"/>
      <c r="X91" s="13"/>
      <c r="Y91" s="1"/>
      <c r="Z91" s="928"/>
      <c r="AB91" s="933"/>
    </row>
    <row r="92" spans="2:28">
      <c r="B92" s="3"/>
      <c r="C92" s="13"/>
      <c r="D92" s="925"/>
      <c r="E92" s="940"/>
      <c r="F92" s="926"/>
      <c r="G92" s="926"/>
      <c r="H92" s="926"/>
      <c r="I92" s="926"/>
      <c r="J92" s="926"/>
      <c r="K92" s="926"/>
      <c r="L92" s="926"/>
      <c r="M92" s="926"/>
      <c r="N92" s="926"/>
      <c r="O92" s="925"/>
      <c r="P92" s="107"/>
      <c r="Q92" s="22"/>
      <c r="W92" s="927"/>
      <c r="X92" s="13"/>
      <c r="Y92" s="1"/>
      <c r="Z92" s="928"/>
      <c r="AB92" s="929"/>
    </row>
    <row r="93" spans="2:28">
      <c r="B93" s="3"/>
      <c r="C93" s="13"/>
      <c r="D93" s="925"/>
      <c r="E93" s="940"/>
      <c r="F93" s="926"/>
      <c r="G93" s="926"/>
      <c r="H93" s="926"/>
      <c r="I93" s="926"/>
      <c r="J93" s="926"/>
      <c r="K93" s="926"/>
      <c r="L93" s="926"/>
      <c r="M93" s="926"/>
      <c r="N93" s="926"/>
      <c r="O93" s="925"/>
      <c r="P93" s="107"/>
      <c r="Q93" s="22"/>
      <c r="W93" s="927"/>
      <c r="X93" s="13"/>
      <c r="Y93" s="1"/>
      <c r="Z93" s="928"/>
      <c r="AB93" s="929"/>
    </row>
    <row r="94" spans="2:28" ht="12.75" customHeight="1">
      <c r="B94" s="3"/>
      <c r="C94" s="13"/>
      <c r="D94" s="925"/>
      <c r="E94" s="940"/>
      <c r="F94" s="926"/>
      <c r="G94" s="926"/>
      <c r="H94" s="926"/>
      <c r="I94" s="926"/>
      <c r="J94" s="926"/>
      <c r="K94" s="926"/>
      <c r="L94" s="926"/>
      <c r="M94" s="926"/>
      <c r="N94" s="926"/>
      <c r="O94" s="925"/>
      <c r="P94" s="107"/>
      <c r="Q94" s="22"/>
      <c r="W94" s="927"/>
      <c r="X94" s="13"/>
      <c r="Y94" s="1"/>
      <c r="Z94" s="928"/>
      <c r="AB94" s="929"/>
    </row>
    <row r="95" spans="2:28" ht="13.5" customHeight="1">
      <c r="B95" s="3"/>
      <c r="C95" s="13"/>
      <c r="D95" s="925"/>
      <c r="E95" s="940"/>
      <c r="F95" s="926"/>
      <c r="G95" s="926"/>
      <c r="H95" s="926"/>
      <c r="I95" s="926"/>
      <c r="J95" s="926"/>
      <c r="K95" s="926"/>
      <c r="L95" s="926"/>
      <c r="M95" s="926"/>
      <c r="N95" s="926"/>
      <c r="O95" s="925"/>
      <c r="P95" s="107"/>
      <c r="Q95" s="22"/>
      <c r="W95" s="927"/>
      <c r="X95" s="13"/>
      <c r="Y95" s="1"/>
      <c r="Z95" s="928"/>
      <c r="AB95" s="929"/>
    </row>
    <row r="96" spans="2:28" ht="12.75" customHeight="1">
      <c r="B96" s="3"/>
      <c r="C96" s="13"/>
      <c r="D96" s="925"/>
      <c r="E96" s="940"/>
      <c r="F96" s="926"/>
      <c r="G96" s="926"/>
      <c r="H96" s="926"/>
      <c r="I96" s="926"/>
      <c r="J96" s="926"/>
      <c r="K96" s="926"/>
      <c r="L96" s="926"/>
      <c r="M96" s="926"/>
      <c r="N96" s="926"/>
      <c r="O96" s="925"/>
      <c r="P96" s="107"/>
      <c r="Q96" s="22"/>
      <c r="W96" s="927"/>
      <c r="X96" s="13"/>
      <c r="Y96" s="1"/>
      <c r="Z96" s="928"/>
      <c r="AB96" s="929"/>
    </row>
    <row r="97" spans="2:28">
      <c r="B97" s="3"/>
      <c r="C97" s="13"/>
      <c r="D97" s="925"/>
      <c r="E97" s="940"/>
      <c r="F97" s="926"/>
      <c r="G97" s="926"/>
      <c r="H97" s="926"/>
      <c r="I97" s="926"/>
      <c r="J97" s="926"/>
      <c r="K97" s="926"/>
      <c r="L97" s="926"/>
      <c r="M97" s="926"/>
      <c r="N97" s="926"/>
      <c r="O97" s="925"/>
      <c r="P97" s="107"/>
      <c r="Q97" s="22"/>
      <c r="W97" s="927"/>
      <c r="X97" s="13"/>
      <c r="Y97" s="1"/>
      <c r="Z97" s="928"/>
      <c r="AB97" s="929"/>
    </row>
    <row r="98" spans="2:28">
      <c r="B98" s="3"/>
      <c r="C98" s="13"/>
      <c r="D98" s="925"/>
      <c r="E98" s="940"/>
      <c r="F98" s="926"/>
      <c r="G98" s="926"/>
      <c r="H98" s="926"/>
      <c r="I98" s="926"/>
      <c r="J98" s="926"/>
      <c r="K98" s="926"/>
      <c r="L98" s="926"/>
      <c r="M98" s="926"/>
      <c r="N98" s="926"/>
      <c r="O98" s="925"/>
      <c r="P98" s="107"/>
      <c r="Q98" s="22"/>
      <c r="W98" s="927"/>
      <c r="X98" s="13"/>
      <c r="Y98" s="1"/>
      <c r="Z98" s="928"/>
      <c r="AB98" s="929"/>
    </row>
    <row r="99" spans="2:28">
      <c r="B99" s="3"/>
      <c r="C99" s="13"/>
      <c r="D99" s="925"/>
      <c r="E99" s="940"/>
      <c r="F99" s="926"/>
      <c r="G99" s="926"/>
      <c r="H99" s="926"/>
      <c r="I99" s="926"/>
      <c r="J99" s="926"/>
      <c r="K99" s="926"/>
      <c r="L99" s="926"/>
      <c r="M99" s="926"/>
      <c r="N99" s="926"/>
      <c r="O99" s="925"/>
      <c r="P99" s="107"/>
      <c r="Q99" s="22"/>
      <c r="W99" s="927"/>
      <c r="X99" s="13"/>
      <c r="Y99" s="1"/>
      <c r="Z99" s="928"/>
      <c r="AB99" s="931"/>
    </row>
    <row r="100" spans="2:28" ht="12.75" customHeight="1">
      <c r="B100" s="3"/>
      <c r="C100" s="13"/>
      <c r="D100" s="925"/>
      <c r="E100" s="943"/>
      <c r="F100" s="935"/>
      <c r="G100" s="936"/>
      <c r="H100" s="926"/>
      <c r="I100" s="926"/>
      <c r="J100" s="926"/>
      <c r="K100" s="926"/>
      <c r="L100" s="935"/>
      <c r="M100" s="935"/>
      <c r="N100" s="926"/>
      <c r="O100" s="930"/>
      <c r="P100" s="107"/>
      <c r="Q100" s="22"/>
      <c r="W100" s="927"/>
      <c r="X100" s="13"/>
      <c r="Y100" s="1"/>
      <c r="Z100" s="928"/>
      <c r="AB100" s="937"/>
    </row>
    <row r="101" spans="2:28" ht="12.75" customHeight="1">
      <c r="B101" s="3"/>
      <c r="C101" s="13"/>
      <c r="D101" s="925"/>
      <c r="E101" s="943"/>
      <c r="F101" s="935"/>
      <c r="G101" s="936"/>
      <c r="H101" s="926"/>
      <c r="I101" s="926"/>
      <c r="J101" s="926"/>
      <c r="K101" s="926"/>
      <c r="L101" s="935"/>
      <c r="M101" s="935"/>
      <c r="N101" s="926"/>
      <c r="O101" s="925"/>
      <c r="P101" s="107"/>
      <c r="Q101" s="22"/>
      <c r="W101" s="927"/>
      <c r="X101" s="13"/>
      <c r="Y101" s="1"/>
      <c r="Z101" s="928"/>
      <c r="AB101" s="929"/>
    </row>
    <row r="102" spans="2:28" ht="11.25" customHeight="1">
      <c r="B102" s="3"/>
      <c r="C102" s="13"/>
      <c r="D102" s="925"/>
      <c r="E102" s="943"/>
      <c r="F102" s="935"/>
      <c r="G102" s="936"/>
      <c r="H102" s="926"/>
      <c r="I102" s="926"/>
      <c r="J102" s="926"/>
      <c r="K102" s="926"/>
      <c r="L102" s="935"/>
      <c r="M102" s="935"/>
      <c r="N102" s="926"/>
      <c r="O102" s="925"/>
      <c r="P102" s="107"/>
      <c r="Q102" s="22"/>
      <c r="W102" s="927"/>
      <c r="X102" s="13"/>
      <c r="Y102" s="1"/>
      <c r="Z102" s="928"/>
      <c r="AB102" s="929"/>
    </row>
    <row r="103" spans="2:28" ht="12.75" customHeight="1">
      <c r="B103" s="3"/>
      <c r="C103" s="13"/>
      <c r="D103" s="925"/>
      <c r="E103" s="943"/>
      <c r="F103" s="935"/>
      <c r="G103" s="936"/>
      <c r="H103" s="926"/>
      <c r="I103" s="947"/>
      <c r="J103" s="926"/>
      <c r="K103" s="947"/>
      <c r="L103" s="940"/>
      <c r="M103" s="940"/>
      <c r="N103" s="926"/>
      <c r="O103" s="925"/>
      <c r="P103" s="107"/>
      <c r="Q103" s="22"/>
      <c r="W103" s="927"/>
      <c r="X103" s="13"/>
      <c r="Y103" s="1"/>
      <c r="Z103" s="928"/>
      <c r="AB103" s="933"/>
    </row>
    <row r="104" spans="2:28" ht="13.5" customHeight="1">
      <c r="B104" s="3"/>
      <c r="C104" s="13"/>
      <c r="D104" s="925"/>
      <c r="E104" s="943"/>
      <c r="F104" s="940"/>
      <c r="G104" s="936"/>
      <c r="H104" s="926"/>
      <c r="I104" s="926"/>
      <c r="J104" s="926"/>
      <c r="K104" s="926"/>
      <c r="L104" s="940"/>
      <c r="M104" s="940"/>
      <c r="N104" s="926"/>
      <c r="O104" s="925"/>
      <c r="P104" s="107"/>
      <c r="Q104" s="22"/>
      <c r="W104" s="927"/>
      <c r="X104" s="13"/>
      <c r="Y104" s="1"/>
      <c r="Z104" s="928"/>
      <c r="AB104" s="929"/>
    </row>
    <row r="105" spans="2:28" ht="14.25" customHeight="1">
      <c r="B105" s="3"/>
      <c r="C105" s="13"/>
      <c r="D105" s="925"/>
      <c r="E105" s="943"/>
      <c r="F105" s="935"/>
      <c r="G105" s="936"/>
      <c r="H105" s="926"/>
      <c r="I105" s="926"/>
      <c r="J105" s="926"/>
      <c r="K105" s="926"/>
      <c r="L105" s="940"/>
      <c r="M105" s="935"/>
      <c r="N105" s="926"/>
      <c r="O105" s="925"/>
      <c r="P105" s="107"/>
      <c r="Q105" s="22"/>
      <c r="W105" s="927"/>
      <c r="X105" s="13"/>
      <c r="Y105" s="1"/>
      <c r="Z105" s="928"/>
      <c r="AB105" s="929"/>
    </row>
    <row r="106" spans="2:28">
      <c r="B106" s="3"/>
      <c r="C106" s="13"/>
      <c r="D106" s="925"/>
      <c r="E106" s="943"/>
      <c r="F106" s="940"/>
      <c r="G106" s="936"/>
      <c r="H106" s="926"/>
      <c r="I106" s="926"/>
      <c r="J106" s="926"/>
      <c r="K106" s="926"/>
      <c r="L106" s="936"/>
      <c r="M106" s="936"/>
      <c r="N106" s="9"/>
      <c r="O106" s="925"/>
      <c r="P106" s="107"/>
      <c r="Q106" s="22"/>
      <c r="W106" s="927"/>
      <c r="X106" s="13"/>
      <c r="Y106" s="1"/>
      <c r="Z106" s="928"/>
      <c r="AB106" s="929"/>
    </row>
    <row r="107" spans="2:28" ht="14.25" customHeight="1">
      <c r="B107" s="3"/>
      <c r="C107" s="13"/>
      <c r="D107" s="925"/>
      <c r="E107" s="943"/>
      <c r="F107" s="940"/>
      <c r="G107" s="940"/>
      <c r="H107" s="926"/>
      <c r="I107" s="926"/>
      <c r="J107" s="926"/>
      <c r="K107" s="935"/>
      <c r="L107" s="947"/>
      <c r="M107" s="940"/>
      <c r="N107" s="936"/>
      <c r="O107" s="925"/>
      <c r="P107" s="107"/>
      <c r="Q107" s="22"/>
      <c r="W107" s="927"/>
      <c r="X107" s="13"/>
      <c r="Y107" s="1"/>
      <c r="Z107" s="928"/>
      <c r="AB107" s="929"/>
    </row>
    <row r="108" spans="2:28">
      <c r="B108" s="3"/>
      <c r="C108" s="13"/>
      <c r="D108" s="925"/>
      <c r="E108" s="943"/>
      <c r="F108" s="935"/>
      <c r="G108" s="936"/>
      <c r="H108" s="926"/>
      <c r="I108" s="926"/>
      <c r="J108" s="926"/>
      <c r="K108" s="926"/>
      <c r="L108" s="935"/>
      <c r="M108" s="935"/>
      <c r="N108" s="926"/>
      <c r="O108" s="925"/>
      <c r="P108" s="107"/>
      <c r="Q108" s="22"/>
      <c r="W108" s="927"/>
      <c r="X108" s="13"/>
      <c r="Y108" s="1"/>
      <c r="Z108" s="928"/>
      <c r="AB108" s="929"/>
    </row>
    <row r="109" spans="2:28" ht="11.25" customHeight="1">
      <c r="B109" s="3"/>
      <c r="C109" s="13"/>
      <c r="D109" s="925"/>
      <c r="E109" s="943"/>
      <c r="F109" s="940"/>
      <c r="G109" s="936"/>
      <c r="H109" s="926"/>
      <c r="I109" s="926"/>
      <c r="J109" s="926"/>
      <c r="K109" s="926"/>
      <c r="L109" s="936"/>
      <c r="M109" s="936"/>
      <c r="N109" s="926"/>
      <c r="O109" s="925"/>
      <c r="P109" s="938"/>
      <c r="Q109" s="22"/>
      <c r="W109" s="927"/>
      <c r="X109" s="13"/>
      <c r="Y109" s="1"/>
      <c r="Z109" s="928"/>
      <c r="AB109" s="939"/>
    </row>
    <row r="110" spans="2:28">
      <c r="B110" s="3"/>
      <c r="C110" s="13"/>
      <c r="D110" s="925"/>
      <c r="E110" s="943"/>
      <c r="F110" s="935"/>
      <c r="G110" s="936"/>
      <c r="H110" s="926"/>
      <c r="I110" s="926"/>
      <c r="J110" s="926"/>
      <c r="K110" s="926"/>
      <c r="L110" s="936"/>
      <c r="M110" s="936"/>
      <c r="N110" s="926"/>
      <c r="O110" s="925"/>
      <c r="P110" s="107"/>
      <c r="Q110" s="22"/>
      <c r="W110" s="927"/>
      <c r="X110" s="13"/>
      <c r="Y110" s="1"/>
      <c r="Z110" s="928"/>
      <c r="AB110" s="929"/>
    </row>
    <row r="111" spans="2:28">
      <c r="B111" s="3"/>
      <c r="C111" s="13"/>
      <c r="D111" s="925"/>
      <c r="E111" s="943"/>
      <c r="F111" s="936"/>
      <c r="G111" s="940"/>
      <c r="H111" s="926"/>
      <c r="I111" s="926"/>
      <c r="J111" s="926"/>
      <c r="K111" s="926"/>
      <c r="L111" s="947"/>
      <c r="M111" s="940"/>
      <c r="N111" s="926"/>
      <c r="O111" s="925"/>
      <c r="P111" s="938"/>
      <c r="Q111" s="22"/>
      <c r="W111" s="927"/>
      <c r="X111" s="13"/>
      <c r="Y111" s="1"/>
      <c r="Z111" s="928"/>
      <c r="AB111" s="939"/>
    </row>
    <row r="112" spans="2:28" hidden="1">
      <c r="B112" s="3"/>
      <c r="C112" s="13"/>
      <c r="D112" s="925"/>
      <c r="E112" s="943"/>
      <c r="F112" s="940"/>
      <c r="G112" s="936"/>
      <c r="H112" s="926"/>
      <c r="I112" s="926"/>
      <c r="J112" s="926"/>
      <c r="K112" s="926"/>
      <c r="L112" s="935"/>
      <c r="M112" s="935"/>
      <c r="N112" s="926"/>
      <c r="O112" s="925"/>
      <c r="P112" s="107"/>
      <c r="Q112" s="22"/>
      <c r="W112" s="927"/>
      <c r="X112" s="13"/>
      <c r="Y112" s="1"/>
      <c r="Z112" s="928"/>
      <c r="AB112" s="933"/>
    </row>
    <row r="113" spans="2:28">
      <c r="B113" s="3"/>
      <c r="C113" s="4"/>
      <c r="D113" s="925"/>
      <c r="E113" s="943"/>
      <c r="F113" s="936"/>
      <c r="G113" s="936"/>
      <c r="H113" s="926"/>
      <c r="I113" s="926"/>
      <c r="J113" s="926"/>
      <c r="K113" s="926"/>
      <c r="L113" s="940"/>
      <c r="M113" s="940"/>
      <c r="N113" s="926"/>
      <c r="O113" s="925"/>
      <c r="P113" s="107"/>
      <c r="Q113" s="22"/>
      <c r="W113" s="927"/>
      <c r="X113" s="13"/>
      <c r="Y113" s="1"/>
      <c r="Z113" s="928"/>
      <c r="AB113" s="929"/>
    </row>
    <row r="114" spans="2:28">
      <c r="B114" s="3"/>
      <c r="C114" s="13"/>
      <c r="D114" s="925"/>
      <c r="E114" s="943"/>
      <c r="F114" s="935"/>
      <c r="G114" s="936"/>
      <c r="H114" s="947"/>
      <c r="I114" s="926"/>
      <c r="J114" s="926"/>
      <c r="K114" s="926"/>
      <c r="L114" s="935"/>
      <c r="M114" s="936"/>
      <c r="N114" s="926"/>
      <c r="O114" s="930"/>
      <c r="P114" s="938"/>
      <c r="Q114" s="22"/>
      <c r="W114" s="927"/>
      <c r="X114" s="13"/>
      <c r="Y114" s="1"/>
      <c r="Z114" s="928"/>
      <c r="AB114" s="939"/>
    </row>
    <row r="115" spans="2:28">
      <c r="B115" s="3"/>
      <c r="C115" s="13"/>
      <c r="D115" s="925"/>
      <c r="E115" s="943"/>
      <c r="F115" s="947"/>
      <c r="G115" s="947"/>
      <c r="H115" s="926"/>
      <c r="I115" s="926"/>
      <c r="J115" s="926"/>
      <c r="K115" s="926"/>
      <c r="L115" s="948"/>
      <c r="M115" s="947"/>
      <c r="N115" s="926"/>
      <c r="O115" s="930"/>
      <c r="P115" s="107"/>
      <c r="Q115" s="22"/>
      <c r="W115" s="927"/>
      <c r="X115" s="13"/>
      <c r="Y115" s="1"/>
      <c r="Z115" s="928"/>
      <c r="AB115" s="942"/>
    </row>
    <row r="116" spans="2:28">
      <c r="B116" s="3"/>
      <c r="C116" s="13"/>
      <c r="D116" s="925"/>
      <c r="E116" s="943"/>
      <c r="F116" s="151"/>
      <c r="G116" s="151"/>
      <c r="H116" s="151"/>
      <c r="I116" s="151"/>
      <c r="J116" s="151"/>
      <c r="K116" s="151"/>
      <c r="L116" s="151"/>
      <c r="M116" s="151"/>
      <c r="N116" s="151"/>
      <c r="O116" s="930"/>
      <c r="P116" s="107"/>
      <c r="Q116" s="22"/>
      <c r="W116" s="927"/>
      <c r="X116" s="13"/>
      <c r="Y116" s="1"/>
      <c r="Z116" s="928"/>
      <c r="AB116" s="929"/>
    </row>
    <row r="117" spans="2:28" ht="11.25" customHeight="1">
      <c r="B117" s="3"/>
      <c r="C117" s="13"/>
      <c r="D117" s="925"/>
      <c r="E117" s="943"/>
      <c r="F117" s="151"/>
      <c r="G117" s="151"/>
      <c r="H117" s="151"/>
      <c r="I117" s="151"/>
      <c r="J117" s="151"/>
      <c r="K117" s="151"/>
      <c r="L117" s="151"/>
      <c r="M117" s="151"/>
      <c r="N117" s="151"/>
      <c r="O117" s="930"/>
      <c r="P117" s="107"/>
      <c r="Q117" s="22"/>
      <c r="W117" s="927"/>
      <c r="X117" s="13"/>
      <c r="Y117" s="1"/>
      <c r="Z117" s="928"/>
      <c r="AB117" s="929"/>
    </row>
    <row r="118" spans="2:28" ht="12.75" customHeight="1">
      <c r="B118" s="3"/>
      <c r="C118" s="13"/>
      <c r="D118" s="925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930"/>
      <c r="P118" s="107"/>
      <c r="Q118" s="22"/>
      <c r="W118" s="927"/>
      <c r="X118" s="13"/>
      <c r="Y118" s="1"/>
      <c r="Z118" s="928"/>
      <c r="AB118" s="929"/>
    </row>
    <row r="119" spans="2:28" ht="11.25" customHeight="1">
      <c r="B119" s="3"/>
      <c r="C119" s="13"/>
      <c r="D119" s="925"/>
      <c r="E119" s="151"/>
      <c r="F119" s="151"/>
      <c r="G119" s="151"/>
      <c r="H119" s="151"/>
      <c r="I119" s="151"/>
      <c r="J119" s="151"/>
      <c r="K119" s="944"/>
      <c r="L119" s="151"/>
      <c r="M119" s="151"/>
      <c r="N119" s="151"/>
      <c r="O119" s="932"/>
      <c r="P119" s="107"/>
      <c r="Q119" s="22"/>
      <c r="W119" s="945"/>
      <c r="X119" s="13"/>
      <c r="Y119" s="946"/>
      <c r="Z119" s="928"/>
      <c r="AB119" s="929"/>
    </row>
    <row r="120" spans="2:28">
      <c r="B120" s="94"/>
      <c r="D120" s="94"/>
    </row>
    <row r="121" spans="2:28">
      <c r="C121" s="13"/>
      <c r="D121" s="22"/>
      <c r="E121" s="14"/>
      <c r="F121" s="14"/>
      <c r="G121" s="14"/>
      <c r="H121" s="14"/>
      <c r="I121" s="14"/>
      <c r="J121" s="14"/>
      <c r="K121" s="14"/>
      <c r="L121" s="14"/>
      <c r="M121" s="13"/>
      <c r="N121" s="13"/>
      <c r="O121" s="9"/>
      <c r="P121" s="9"/>
      <c r="Q121" s="13"/>
      <c r="R121" s="22"/>
      <c r="T121" s="22"/>
      <c r="U121" s="13"/>
    </row>
    <row r="122" spans="2:28">
      <c r="C122" s="13"/>
      <c r="D122" s="9"/>
      <c r="E122" s="850"/>
      <c r="F122" s="14"/>
      <c r="G122" s="14"/>
      <c r="H122" s="14"/>
      <c r="I122" s="14"/>
      <c r="J122" s="14"/>
      <c r="K122" s="14"/>
      <c r="L122" s="14"/>
      <c r="M122" s="13"/>
      <c r="N122" s="13"/>
      <c r="O122" s="9"/>
      <c r="P122" s="9"/>
      <c r="Q122" s="13"/>
      <c r="R122" s="22"/>
      <c r="T122" s="22"/>
      <c r="U122" s="13"/>
    </row>
    <row r="123" spans="2:28">
      <c r="C123" s="22"/>
      <c r="D123" s="22"/>
      <c r="E123" s="14"/>
      <c r="F123" s="14"/>
      <c r="G123" s="14"/>
      <c r="H123" s="14"/>
      <c r="K123" s="14"/>
      <c r="L123" s="48"/>
      <c r="M123" s="13"/>
      <c r="N123" s="13"/>
      <c r="O123" s="9"/>
      <c r="P123" s="9"/>
      <c r="Q123" s="22"/>
      <c r="R123" s="22"/>
      <c r="T123" s="22"/>
      <c r="U123" s="13"/>
      <c r="AB123" s="922"/>
    </row>
    <row r="124" spans="2:28">
      <c r="C124" s="13"/>
      <c r="D124" s="13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9"/>
      <c r="P124" s="9"/>
      <c r="Q124" s="22"/>
      <c r="R124" s="22"/>
      <c r="T124" s="22"/>
      <c r="U124" s="13"/>
      <c r="Z124" s="150"/>
      <c r="AB124" s="922"/>
    </row>
    <row r="125" spans="2:28">
      <c r="C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9"/>
      <c r="P125" s="9"/>
      <c r="Q125" s="13"/>
      <c r="R125" s="22"/>
      <c r="T125" s="22"/>
      <c r="U125" s="13"/>
      <c r="Z125" s="150"/>
      <c r="AB125" s="923"/>
    </row>
    <row r="126" spans="2:28">
      <c r="C126" s="13"/>
      <c r="D126" s="14"/>
      <c r="E126" s="13"/>
      <c r="F126" s="13"/>
      <c r="G126" s="13"/>
      <c r="H126" s="13"/>
      <c r="I126" s="4"/>
      <c r="J126" s="13"/>
      <c r="K126" s="13"/>
      <c r="L126" s="13"/>
      <c r="M126" s="13"/>
      <c r="N126" s="4"/>
      <c r="O126" s="9"/>
      <c r="P126" s="9"/>
      <c r="Q126" s="14"/>
      <c r="R126" s="22"/>
      <c r="S126" s="13"/>
      <c r="T126" s="22"/>
      <c r="U126" s="13"/>
      <c r="W126" s="345"/>
      <c r="X126" s="22"/>
      <c r="Y126" s="3"/>
      <c r="Z126" s="924"/>
      <c r="AB126" s="923"/>
    </row>
    <row r="127" spans="2:28">
      <c r="B127" s="3"/>
      <c r="C127" s="13"/>
      <c r="D127" s="925"/>
      <c r="E127" s="926"/>
      <c r="F127" s="926"/>
      <c r="G127" s="926"/>
      <c r="H127" s="926"/>
      <c r="I127" s="926"/>
      <c r="J127" s="926"/>
      <c r="K127" s="926"/>
      <c r="L127" s="926"/>
      <c r="M127" s="926"/>
      <c r="N127" s="926"/>
      <c r="O127" s="925"/>
      <c r="P127" s="22"/>
      <c r="Q127" s="22"/>
      <c r="S127" s="64"/>
      <c r="W127" s="927"/>
      <c r="X127" s="13"/>
      <c r="Y127" s="1"/>
      <c r="Z127" s="928"/>
      <c r="AB127" s="929"/>
    </row>
    <row r="128" spans="2:28">
      <c r="B128" s="3"/>
      <c r="C128" s="13"/>
      <c r="D128" s="925"/>
      <c r="E128" s="926"/>
      <c r="F128" s="926"/>
      <c r="G128" s="926"/>
      <c r="H128" s="926"/>
      <c r="I128" s="926"/>
      <c r="J128" s="926"/>
      <c r="K128" s="926"/>
      <c r="L128" s="926"/>
      <c r="M128" s="926"/>
      <c r="N128" s="926"/>
      <c r="O128" s="930"/>
      <c r="P128" s="107"/>
      <c r="Q128" s="22"/>
      <c r="W128" s="927"/>
      <c r="X128" s="13"/>
      <c r="Y128" s="1"/>
      <c r="Z128" s="928"/>
      <c r="AB128" s="929"/>
    </row>
    <row r="129" spans="2:28">
      <c r="B129" s="3"/>
      <c r="C129" s="13"/>
      <c r="D129" s="925"/>
      <c r="E129" s="926"/>
      <c r="F129" s="926"/>
      <c r="G129" s="926"/>
      <c r="H129" s="940"/>
      <c r="I129" s="926"/>
      <c r="J129" s="926"/>
      <c r="K129" s="940"/>
      <c r="L129" s="926"/>
      <c r="M129" s="926"/>
      <c r="N129" s="926"/>
      <c r="O129" s="925"/>
      <c r="P129" s="107"/>
      <c r="Q129" s="22"/>
      <c r="W129" s="927"/>
      <c r="X129" s="13"/>
      <c r="Y129" s="1"/>
      <c r="Z129" s="928"/>
      <c r="AB129" s="931"/>
    </row>
    <row r="130" spans="2:28">
      <c r="B130" s="3"/>
      <c r="C130" s="13"/>
      <c r="D130" s="925"/>
      <c r="E130" s="926"/>
      <c r="F130" s="926"/>
      <c r="G130" s="926"/>
      <c r="H130" s="926"/>
      <c r="I130" s="926"/>
      <c r="J130" s="926"/>
      <c r="K130" s="926"/>
      <c r="L130" s="926"/>
      <c r="M130" s="926"/>
      <c r="N130" s="940"/>
      <c r="O130" s="932"/>
      <c r="P130" s="107"/>
      <c r="Q130" s="22"/>
      <c r="W130" s="927"/>
      <c r="X130" s="13"/>
      <c r="Y130" s="1"/>
      <c r="Z130" s="928"/>
      <c r="AB130" s="929"/>
    </row>
    <row r="131" spans="2:28">
      <c r="B131" s="3"/>
      <c r="C131" s="13"/>
      <c r="D131" s="925"/>
      <c r="E131" s="926"/>
      <c r="F131" s="926"/>
      <c r="G131" s="926"/>
      <c r="H131" s="926"/>
      <c r="I131" s="926"/>
      <c r="J131" s="926"/>
      <c r="K131" s="926"/>
      <c r="L131" s="926"/>
      <c r="M131" s="926"/>
      <c r="N131" s="926"/>
      <c r="O131" s="925"/>
      <c r="P131" s="107"/>
      <c r="Q131" s="22"/>
      <c r="W131" s="927"/>
      <c r="X131" s="13"/>
      <c r="Y131" s="1"/>
      <c r="Z131" s="928"/>
      <c r="AB131" s="933"/>
    </row>
    <row r="132" spans="2:28">
      <c r="B132" s="3"/>
      <c r="C132" s="13"/>
      <c r="D132" s="925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5"/>
      <c r="P132" s="107"/>
      <c r="Q132" s="22"/>
      <c r="W132" s="927"/>
      <c r="X132" s="13"/>
      <c r="Y132" s="1"/>
      <c r="Z132" s="928"/>
      <c r="AB132" s="931"/>
    </row>
    <row r="133" spans="2:28">
      <c r="B133" s="3"/>
      <c r="C133" s="13"/>
      <c r="D133" s="925"/>
      <c r="E133" s="926"/>
      <c r="F133" s="926"/>
      <c r="G133" s="9"/>
      <c r="H133" s="935"/>
      <c r="I133" s="940"/>
      <c r="J133" s="926"/>
      <c r="K133" s="926"/>
      <c r="L133" s="926"/>
      <c r="M133" s="926"/>
      <c r="N133" s="926"/>
      <c r="O133" s="934"/>
      <c r="P133" s="107"/>
      <c r="Q133" s="22"/>
      <c r="W133" s="927"/>
      <c r="X133" s="13"/>
      <c r="Y133" s="1"/>
      <c r="Z133" s="928"/>
      <c r="AB133" s="933"/>
    </row>
    <row r="134" spans="2:28">
      <c r="B134" s="3"/>
      <c r="C134" s="13"/>
      <c r="D134" s="925"/>
      <c r="E134" s="689"/>
      <c r="F134" s="926"/>
      <c r="G134" s="926"/>
      <c r="H134" s="926"/>
      <c r="I134" s="926"/>
      <c r="J134" s="926"/>
      <c r="K134" s="926"/>
      <c r="L134" s="926"/>
      <c r="M134" s="926"/>
      <c r="N134" s="926"/>
      <c r="O134" s="925"/>
      <c r="P134" s="107"/>
      <c r="Q134" s="22"/>
      <c r="W134" s="927"/>
      <c r="X134" s="13"/>
      <c r="Y134" s="1"/>
      <c r="Z134" s="928"/>
      <c r="AB134" s="929"/>
    </row>
    <row r="135" spans="2:28">
      <c r="B135" s="3"/>
      <c r="C135" s="13"/>
      <c r="D135" s="925"/>
      <c r="E135" s="689"/>
      <c r="F135" s="926"/>
      <c r="G135" s="926"/>
      <c r="H135" s="926"/>
      <c r="I135" s="926"/>
      <c r="J135" s="926"/>
      <c r="K135" s="926"/>
      <c r="L135" s="926"/>
      <c r="M135" s="926"/>
      <c r="N135" s="926"/>
      <c r="O135" s="925"/>
      <c r="P135" s="107"/>
      <c r="Q135" s="22"/>
      <c r="W135" s="927"/>
      <c r="X135" s="13"/>
      <c r="Y135" s="1"/>
      <c r="Z135" s="928"/>
      <c r="AB135" s="929"/>
    </row>
    <row r="136" spans="2:28">
      <c r="B136" s="3"/>
      <c r="C136" s="13"/>
      <c r="D136" s="925"/>
      <c r="E136" s="689"/>
      <c r="F136" s="926"/>
      <c r="G136" s="926"/>
      <c r="H136" s="926"/>
      <c r="I136" s="926"/>
      <c r="J136" s="926"/>
      <c r="K136" s="926"/>
      <c r="L136" s="926"/>
      <c r="M136" s="926"/>
      <c r="N136" s="926"/>
      <c r="O136" s="925"/>
      <c r="P136" s="107"/>
      <c r="Q136" s="22"/>
      <c r="W136" s="927"/>
      <c r="X136" s="13"/>
      <c r="Y136" s="1"/>
      <c r="Z136" s="928"/>
      <c r="AB136" s="929"/>
    </row>
    <row r="137" spans="2:28">
      <c r="B137" s="3"/>
      <c r="C137" s="13"/>
      <c r="D137" s="925"/>
      <c r="E137" s="689"/>
      <c r="F137" s="926"/>
      <c r="G137" s="926"/>
      <c r="H137" s="926"/>
      <c r="I137" s="926"/>
      <c r="J137" s="926"/>
      <c r="K137" s="926"/>
      <c r="L137" s="926"/>
      <c r="M137" s="926"/>
      <c r="N137" s="926"/>
      <c r="O137" s="925"/>
      <c r="P137" s="107"/>
      <c r="Q137" s="22"/>
      <c r="W137" s="927"/>
      <c r="X137" s="13"/>
      <c r="Y137" s="1"/>
      <c r="Z137" s="928"/>
      <c r="AB137" s="929"/>
    </row>
    <row r="138" spans="2:28">
      <c r="B138" s="3"/>
      <c r="C138" s="13"/>
      <c r="D138" s="925"/>
      <c r="E138" s="689"/>
      <c r="F138" s="926"/>
      <c r="G138" s="926"/>
      <c r="H138" s="926"/>
      <c r="I138" s="926"/>
      <c r="J138" s="926"/>
      <c r="K138" s="926"/>
      <c r="L138" s="926"/>
      <c r="M138" s="926"/>
      <c r="N138" s="926"/>
      <c r="O138" s="925"/>
      <c r="P138" s="107"/>
      <c r="Q138" s="22"/>
      <c r="W138" s="927"/>
      <c r="X138" s="13"/>
      <c r="Y138" s="1"/>
      <c r="Z138" s="928"/>
      <c r="AB138" s="929"/>
    </row>
    <row r="139" spans="2:28">
      <c r="B139" s="3"/>
      <c r="C139" s="13"/>
      <c r="D139" s="925"/>
      <c r="E139" s="689"/>
      <c r="F139" s="926"/>
      <c r="G139" s="926"/>
      <c r="H139" s="926"/>
      <c r="I139" s="926"/>
      <c r="J139" s="926"/>
      <c r="K139" s="926"/>
      <c r="L139" s="926"/>
      <c r="M139" s="926"/>
      <c r="N139" s="926"/>
      <c r="O139" s="925"/>
      <c r="P139" s="107"/>
      <c r="Q139" s="22"/>
      <c r="W139" s="927"/>
      <c r="X139" s="13"/>
      <c r="Y139" s="1"/>
      <c r="Z139" s="928"/>
      <c r="AB139" s="929"/>
    </row>
    <row r="140" spans="2:28" ht="13.5" customHeight="1">
      <c r="B140" s="3"/>
      <c r="C140" s="13"/>
      <c r="D140" s="925"/>
      <c r="E140" s="689"/>
      <c r="F140" s="926"/>
      <c r="G140" s="926"/>
      <c r="H140" s="926"/>
      <c r="I140" s="926"/>
      <c r="J140" s="926"/>
      <c r="K140" s="926"/>
      <c r="L140" s="926"/>
      <c r="M140" s="926"/>
      <c r="N140" s="926"/>
      <c r="O140" s="925"/>
      <c r="P140" s="107"/>
      <c r="Q140" s="22"/>
      <c r="W140" s="927"/>
      <c r="X140" s="13"/>
      <c r="Y140" s="1"/>
      <c r="Z140" s="928"/>
      <c r="AB140" s="929"/>
    </row>
    <row r="141" spans="2:28">
      <c r="B141" s="3"/>
      <c r="C141" s="13"/>
      <c r="D141" s="925"/>
      <c r="E141" s="689"/>
      <c r="F141" s="926"/>
      <c r="G141" s="926"/>
      <c r="H141" s="926"/>
      <c r="I141" s="926"/>
      <c r="J141" s="926"/>
      <c r="K141" s="926"/>
      <c r="L141" s="926"/>
      <c r="M141" s="926"/>
      <c r="N141" s="926"/>
      <c r="O141" s="925"/>
      <c r="P141" s="107"/>
      <c r="Q141" s="22"/>
      <c r="W141" s="927"/>
      <c r="X141" s="13"/>
      <c r="Y141" s="1"/>
      <c r="Z141" s="928"/>
      <c r="AB141" s="931"/>
    </row>
    <row r="142" spans="2:28" ht="12.75" customHeight="1">
      <c r="B142" s="3"/>
      <c r="C142" s="13"/>
      <c r="D142" s="925"/>
      <c r="E142" s="689"/>
      <c r="F142" s="935"/>
      <c r="G142" s="936"/>
      <c r="H142" s="926"/>
      <c r="I142" s="926"/>
      <c r="J142" s="926"/>
      <c r="K142" s="926"/>
      <c r="L142" s="935"/>
      <c r="M142" s="935"/>
      <c r="N142" s="926"/>
      <c r="O142" s="930"/>
      <c r="P142" s="107"/>
      <c r="Q142" s="22"/>
      <c r="W142" s="927"/>
      <c r="X142" s="13"/>
      <c r="Y142" s="1"/>
      <c r="Z142" s="928"/>
      <c r="AB142" s="937"/>
    </row>
    <row r="143" spans="2:28">
      <c r="B143" s="3"/>
      <c r="C143" s="13"/>
      <c r="D143" s="925"/>
      <c r="E143" s="689"/>
      <c r="F143" s="935"/>
      <c r="G143" s="936"/>
      <c r="H143" s="926"/>
      <c r="I143" s="926"/>
      <c r="J143" s="926"/>
      <c r="K143" s="926"/>
      <c r="L143" s="935"/>
      <c r="M143" s="935"/>
      <c r="N143" s="926"/>
      <c r="O143" s="925"/>
      <c r="P143" s="107"/>
      <c r="Q143" s="22"/>
      <c r="W143" s="927"/>
      <c r="X143" s="13"/>
      <c r="Y143" s="1"/>
      <c r="Z143" s="928"/>
      <c r="AB143" s="929"/>
    </row>
    <row r="144" spans="2:28" ht="12.75" customHeight="1">
      <c r="B144" s="3"/>
      <c r="C144" s="13"/>
      <c r="D144" s="925"/>
      <c r="E144" s="689"/>
      <c r="F144" s="935"/>
      <c r="G144" s="936"/>
      <c r="H144" s="926"/>
      <c r="I144" s="926"/>
      <c r="J144" s="926"/>
      <c r="K144" s="926"/>
      <c r="L144" s="935"/>
      <c r="M144" s="935"/>
      <c r="N144" s="926"/>
      <c r="O144" s="925"/>
      <c r="P144" s="107"/>
      <c r="Q144" s="22"/>
      <c r="W144" s="927"/>
      <c r="X144" s="13"/>
      <c r="Y144" s="1"/>
      <c r="Z144" s="928"/>
      <c r="AB144" s="929"/>
    </row>
    <row r="145" spans="2:28">
      <c r="B145" s="3"/>
      <c r="C145" s="13"/>
      <c r="D145" s="925"/>
      <c r="E145" s="949"/>
      <c r="F145" s="935"/>
      <c r="G145" s="936"/>
      <c r="H145" s="926"/>
      <c r="I145" s="947"/>
      <c r="J145" s="926"/>
      <c r="K145" s="947"/>
      <c r="L145" s="940"/>
      <c r="M145" s="940"/>
      <c r="N145" s="926"/>
      <c r="O145" s="925"/>
      <c r="P145" s="107"/>
      <c r="Q145" s="22"/>
      <c r="W145" s="927"/>
      <c r="X145" s="13"/>
      <c r="Y145" s="1"/>
      <c r="Z145" s="928"/>
      <c r="AB145" s="933"/>
    </row>
    <row r="146" spans="2:28">
      <c r="B146" s="3"/>
      <c r="C146" s="13"/>
      <c r="D146" s="925"/>
      <c r="E146" s="689"/>
      <c r="F146" s="940"/>
      <c r="G146" s="936"/>
      <c r="H146" s="926"/>
      <c r="I146" s="926"/>
      <c r="J146" s="926"/>
      <c r="K146" s="926"/>
      <c r="L146" s="940"/>
      <c r="M146" s="940"/>
      <c r="N146" s="926"/>
      <c r="O146" s="925"/>
      <c r="P146" s="107"/>
      <c r="Q146" s="22"/>
      <c r="W146" s="927"/>
      <c r="X146" s="13"/>
      <c r="Y146" s="1"/>
      <c r="Z146" s="928"/>
      <c r="AB146" s="929"/>
    </row>
    <row r="147" spans="2:28">
      <c r="B147" s="3"/>
      <c r="C147" s="13"/>
      <c r="D147" s="925"/>
      <c r="E147" s="689"/>
      <c r="F147" s="935"/>
      <c r="G147" s="936"/>
      <c r="H147" s="926"/>
      <c r="I147" s="926"/>
      <c r="J147" s="926"/>
      <c r="K147" s="926"/>
      <c r="L147" s="940"/>
      <c r="M147" s="935"/>
      <c r="N147" s="926"/>
      <c r="O147" s="925"/>
      <c r="P147" s="107"/>
      <c r="Q147" s="22"/>
      <c r="W147" s="927"/>
      <c r="X147" s="13"/>
      <c r="Y147" s="1"/>
      <c r="Z147" s="928"/>
      <c r="AB147" s="929"/>
    </row>
    <row r="148" spans="2:28">
      <c r="B148" s="3"/>
      <c r="C148" s="13"/>
      <c r="D148" s="925"/>
      <c r="E148" s="689"/>
      <c r="F148" s="940"/>
      <c r="G148" s="936"/>
      <c r="H148" s="926"/>
      <c r="I148" s="926"/>
      <c r="J148" s="926"/>
      <c r="K148" s="926"/>
      <c r="L148" s="936"/>
      <c r="M148" s="936"/>
      <c r="N148" s="9"/>
      <c r="O148" s="925"/>
      <c r="P148" s="107"/>
      <c r="Q148" s="22"/>
      <c r="W148" s="927"/>
      <c r="X148" s="13"/>
      <c r="Y148" s="1"/>
      <c r="Z148" s="928"/>
      <c r="AB148" s="929"/>
    </row>
    <row r="149" spans="2:28">
      <c r="B149" s="3"/>
      <c r="C149" s="13"/>
      <c r="D149" s="925"/>
      <c r="E149" s="689"/>
      <c r="F149" s="940"/>
      <c r="G149" s="940"/>
      <c r="H149" s="926"/>
      <c r="I149" s="926"/>
      <c r="J149" s="926"/>
      <c r="K149" s="935"/>
      <c r="L149" s="947"/>
      <c r="M149" s="940"/>
      <c r="N149" s="936"/>
      <c r="O149" s="925"/>
      <c r="P149" s="107"/>
      <c r="Q149" s="22"/>
      <c r="W149" s="927"/>
      <c r="X149" s="13"/>
      <c r="Y149" s="1"/>
      <c r="Z149" s="928"/>
      <c r="AB149" s="929"/>
    </row>
    <row r="150" spans="2:28" ht="10.5" customHeight="1">
      <c r="B150" s="3"/>
      <c r="C150" s="13"/>
      <c r="D150" s="925"/>
      <c r="E150" s="689"/>
      <c r="F150" s="935"/>
      <c r="G150" s="936"/>
      <c r="H150" s="926"/>
      <c r="I150" s="926"/>
      <c r="J150" s="926"/>
      <c r="K150" s="926"/>
      <c r="L150" s="935"/>
      <c r="M150" s="935"/>
      <c r="N150" s="926"/>
      <c r="O150" s="925"/>
      <c r="P150" s="107"/>
      <c r="Q150" s="22"/>
      <c r="W150" s="927"/>
      <c r="X150" s="13"/>
      <c r="Y150" s="1"/>
      <c r="Z150" s="928"/>
      <c r="AB150" s="929"/>
    </row>
    <row r="151" spans="2:28" ht="12.75" customHeight="1">
      <c r="B151" s="3"/>
      <c r="C151" s="13"/>
      <c r="D151" s="925"/>
      <c r="E151" s="689"/>
      <c r="F151" s="940"/>
      <c r="G151" s="936"/>
      <c r="H151" s="926"/>
      <c r="I151" s="926"/>
      <c r="J151" s="926"/>
      <c r="K151" s="926"/>
      <c r="L151" s="936"/>
      <c r="M151" s="936"/>
      <c r="N151" s="926"/>
      <c r="O151" s="925"/>
      <c r="P151" s="938"/>
      <c r="Q151" s="22"/>
      <c r="W151" s="927"/>
      <c r="X151" s="13"/>
      <c r="Y151" s="1"/>
      <c r="Z151" s="928"/>
      <c r="AB151" s="939"/>
    </row>
    <row r="152" spans="2:28">
      <c r="B152" s="3"/>
      <c r="C152" s="13"/>
      <c r="D152" s="925"/>
      <c r="E152" s="689"/>
      <c r="F152" s="935"/>
      <c r="G152" s="936"/>
      <c r="H152" s="926"/>
      <c r="I152" s="926"/>
      <c r="J152" s="926"/>
      <c r="K152" s="926"/>
      <c r="L152" s="936"/>
      <c r="M152" s="936"/>
      <c r="N152" s="926"/>
      <c r="O152" s="925"/>
      <c r="P152" s="107"/>
      <c r="Q152" s="22"/>
      <c r="W152" s="927"/>
      <c r="X152" s="13"/>
      <c r="Y152" s="1"/>
      <c r="Z152" s="928"/>
      <c r="AB152" s="929"/>
    </row>
    <row r="153" spans="2:28" ht="12.75" customHeight="1">
      <c r="B153" s="3"/>
      <c r="C153" s="13"/>
      <c r="D153" s="925"/>
      <c r="E153" s="689"/>
      <c r="F153" s="936"/>
      <c r="G153" s="940"/>
      <c r="H153" s="926"/>
      <c r="I153" s="926"/>
      <c r="J153" s="926"/>
      <c r="K153" s="926"/>
      <c r="L153" s="947"/>
      <c r="M153" s="940"/>
      <c r="N153" s="926"/>
      <c r="O153" s="925"/>
      <c r="P153" s="938"/>
      <c r="Q153" s="22"/>
      <c r="W153" s="927"/>
      <c r="X153" s="13"/>
      <c r="Y153" s="1"/>
      <c r="Z153" s="928"/>
      <c r="AB153" s="939"/>
    </row>
    <row r="154" spans="2:28" hidden="1">
      <c r="B154" s="3"/>
      <c r="C154" s="13"/>
      <c r="D154" s="925"/>
      <c r="E154" s="689"/>
      <c r="F154" s="940"/>
      <c r="G154" s="936"/>
      <c r="H154" s="926"/>
      <c r="I154" s="926"/>
      <c r="J154" s="926"/>
      <c r="K154" s="926"/>
      <c r="L154" s="935"/>
      <c r="M154" s="935"/>
      <c r="N154" s="926"/>
      <c r="O154" s="925"/>
      <c r="P154" s="107"/>
      <c r="Q154" s="22"/>
      <c r="W154" s="927"/>
      <c r="X154" s="13"/>
      <c r="Y154" s="1"/>
      <c r="Z154" s="928"/>
      <c r="AB154" s="933"/>
    </row>
    <row r="155" spans="2:28" ht="13.5" customHeight="1">
      <c r="B155" s="3"/>
      <c r="C155" s="4"/>
      <c r="D155" s="925"/>
      <c r="E155" s="689"/>
      <c r="F155" s="936"/>
      <c r="G155" s="936"/>
      <c r="H155" s="926"/>
      <c r="I155" s="926"/>
      <c r="J155" s="926"/>
      <c r="K155" s="926"/>
      <c r="L155" s="940"/>
      <c r="M155" s="940"/>
      <c r="N155" s="926"/>
      <c r="O155" s="925"/>
      <c r="P155" s="107"/>
      <c r="Q155" s="22"/>
      <c r="W155" s="927"/>
      <c r="X155" s="13"/>
      <c r="Y155" s="1"/>
      <c r="Z155" s="928"/>
      <c r="AB155" s="929"/>
    </row>
    <row r="156" spans="2:28" ht="12.75" customHeight="1">
      <c r="B156" s="3"/>
      <c r="C156" s="13"/>
      <c r="D156" s="925"/>
      <c r="E156" s="689"/>
      <c r="F156" s="935"/>
      <c r="G156" s="936"/>
      <c r="H156" s="947"/>
      <c r="I156" s="926"/>
      <c r="J156" s="926"/>
      <c r="K156" s="926"/>
      <c r="L156" s="935"/>
      <c r="M156" s="936"/>
      <c r="N156" s="926"/>
      <c r="O156" s="930"/>
      <c r="P156" s="938"/>
      <c r="Q156" s="22"/>
      <c r="W156" s="927"/>
      <c r="X156" s="13"/>
      <c r="Y156" s="1"/>
      <c r="Z156" s="928"/>
      <c r="AB156" s="939"/>
    </row>
    <row r="157" spans="2:28" ht="12.75" customHeight="1">
      <c r="B157" s="3"/>
      <c r="C157" s="13"/>
      <c r="D157" s="925"/>
      <c r="E157" s="689"/>
      <c r="F157" s="947"/>
      <c r="G157" s="947"/>
      <c r="H157" s="926"/>
      <c r="I157" s="926"/>
      <c r="J157" s="926"/>
      <c r="K157" s="926"/>
      <c r="L157" s="948"/>
      <c r="M157" s="947"/>
      <c r="N157" s="926"/>
      <c r="O157" s="930"/>
      <c r="P157" s="107"/>
      <c r="Q157" s="22"/>
      <c r="W157" s="927"/>
      <c r="X157" s="13"/>
      <c r="Y157" s="1"/>
      <c r="Z157" s="928"/>
      <c r="AB157" s="942"/>
    </row>
    <row r="158" spans="2:28" ht="12.75" customHeight="1">
      <c r="B158" s="3"/>
      <c r="C158" s="13"/>
      <c r="D158" s="925"/>
      <c r="E158" s="943"/>
      <c r="F158" s="151"/>
      <c r="G158" s="151"/>
      <c r="H158" s="151"/>
      <c r="I158" s="151"/>
      <c r="J158" s="151"/>
      <c r="K158" s="151"/>
      <c r="L158" s="151"/>
      <c r="M158" s="151"/>
      <c r="N158" s="151"/>
      <c r="O158" s="930"/>
      <c r="P158" s="107"/>
      <c r="Q158" s="22"/>
      <c r="W158" s="927"/>
      <c r="X158" s="13"/>
      <c r="Y158" s="1"/>
      <c r="Z158" s="928"/>
      <c r="AB158" s="929"/>
    </row>
    <row r="159" spans="2:28" ht="12.75" customHeight="1">
      <c r="B159" s="3"/>
      <c r="C159" s="13"/>
      <c r="D159" s="925"/>
      <c r="E159" s="943"/>
      <c r="F159" s="151"/>
      <c r="G159" s="151"/>
      <c r="H159" s="151"/>
      <c r="I159" s="151"/>
      <c r="J159" s="151"/>
      <c r="K159" s="151"/>
      <c r="L159" s="151"/>
      <c r="M159" s="151"/>
      <c r="N159" s="151"/>
      <c r="O159" s="930"/>
      <c r="P159" s="107"/>
      <c r="Q159" s="22"/>
      <c r="W159" s="927"/>
      <c r="X159" s="13"/>
      <c r="Y159" s="1"/>
      <c r="Z159" s="928"/>
      <c r="AB159" s="929"/>
    </row>
    <row r="160" spans="2:28" ht="11.25" customHeight="1">
      <c r="B160" s="3"/>
      <c r="C160" s="13"/>
      <c r="D160" s="925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930"/>
      <c r="P160" s="107"/>
      <c r="Q160" s="22"/>
      <c r="W160" s="927"/>
      <c r="X160" s="13"/>
      <c r="Y160" s="1"/>
      <c r="Z160" s="928"/>
      <c r="AB160" s="929"/>
    </row>
    <row r="161" spans="2:28" ht="12.75" customHeight="1">
      <c r="B161" s="3"/>
      <c r="C161" s="13"/>
      <c r="D161" s="925"/>
      <c r="E161" s="151"/>
      <c r="F161" s="151"/>
      <c r="G161" s="151"/>
      <c r="H161" s="151"/>
      <c r="I161" s="151"/>
      <c r="J161" s="151"/>
      <c r="K161" s="944"/>
      <c r="L161" s="151"/>
      <c r="M161" s="151"/>
      <c r="N161" s="151"/>
      <c r="O161" s="932"/>
      <c r="P161" s="107"/>
      <c r="Q161" s="22"/>
      <c r="W161" s="945"/>
      <c r="X161" s="13"/>
      <c r="Y161" s="946"/>
      <c r="Z161" s="928"/>
      <c r="AB161" s="929"/>
    </row>
    <row r="162" spans="2:28" ht="11.25" customHeight="1"/>
    <row r="163" spans="2:28" ht="12.75" customHeight="1">
      <c r="B163" s="94"/>
      <c r="D163" s="94"/>
    </row>
    <row r="164" spans="2:28">
      <c r="C164" s="13"/>
      <c r="D164" s="22"/>
      <c r="E164" s="14"/>
      <c r="F164" s="14"/>
      <c r="G164" s="14"/>
      <c r="H164" s="14"/>
      <c r="I164" s="14"/>
      <c r="J164" s="14"/>
      <c r="K164" s="14"/>
      <c r="L164" s="14"/>
      <c r="M164" s="13"/>
      <c r="N164" s="13"/>
      <c r="O164" s="9"/>
      <c r="P164" s="9"/>
      <c r="Q164" s="13"/>
      <c r="R164" s="22"/>
      <c r="T164" s="22"/>
      <c r="U164" s="13"/>
    </row>
    <row r="165" spans="2:28">
      <c r="C165" s="13"/>
      <c r="D165" s="9"/>
      <c r="E165" s="14"/>
      <c r="F165" s="14"/>
      <c r="G165" s="14"/>
      <c r="H165" s="14"/>
      <c r="I165" s="14"/>
      <c r="J165" s="14"/>
      <c r="K165" s="14"/>
      <c r="L165" s="14"/>
      <c r="M165" s="13"/>
      <c r="N165" s="13"/>
      <c r="O165" s="9"/>
      <c r="P165" s="9"/>
      <c r="Q165" s="13"/>
      <c r="R165" s="22"/>
      <c r="T165" s="22"/>
      <c r="U165" s="13"/>
    </row>
    <row r="166" spans="2:28">
      <c r="C166" s="22"/>
      <c r="D166" s="22"/>
      <c r="E166" s="14"/>
      <c r="F166" s="14"/>
      <c r="G166" s="14"/>
      <c r="H166" s="14"/>
      <c r="K166" s="14"/>
      <c r="L166" s="48"/>
      <c r="M166" s="13"/>
      <c r="N166" s="13"/>
      <c r="O166" s="9"/>
      <c r="P166" s="9"/>
      <c r="Q166" s="22"/>
      <c r="R166" s="22"/>
      <c r="T166" s="22"/>
      <c r="U166" s="13"/>
      <c r="AB166" s="922"/>
    </row>
    <row r="167" spans="2:28">
      <c r="C167" s="13"/>
      <c r="D167" s="1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9"/>
      <c r="P167" s="9"/>
      <c r="Q167" s="22"/>
      <c r="R167" s="22"/>
      <c r="T167" s="22"/>
      <c r="U167" s="13"/>
      <c r="Z167" s="150"/>
      <c r="AB167" s="922"/>
    </row>
    <row r="168" spans="2:28">
      <c r="C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9"/>
      <c r="P168" s="9"/>
      <c r="Q168" s="13"/>
      <c r="R168" s="22"/>
      <c r="T168" s="22"/>
      <c r="U168" s="13"/>
      <c r="Z168" s="150"/>
      <c r="AB168" s="923"/>
    </row>
    <row r="169" spans="2:28">
      <c r="C169" s="13"/>
      <c r="D169" s="14"/>
      <c r="E169" s="13"/>
      <c r="F169" s="13"/>
      <c r="G169" s="13"/>
      <c r="H169" s="13"/>
      <c r="I169" s="4"/>
      <c r="J169" s="13"/>
      <c r="K169" s="13"/>
      <c r="L169" s="13"/>
      <c r="M169" s="13"/>
      <c r="N169" s="4"/>
      <c r="O169" s="9"/>
      <c r="P169" s="9"/>
      <c r="Q169" s="14"/>
      <c r="R169" s="22"/>
      <c r="S169" s="13"/>
      <c r="T169" s="22"/>
      <c r="U169" s="13"/>
      <c r="W169" s="345"/>
      <c r="X169" s="22"/>
      <c r="Y169" s="3"/>
      <c r="Z169" s="924"/>
      <c r="AB169" s="923"/>
    </row>
    <row r="170" spans="2:28">
      <c r="B170" s="3"/>
      <c r="C170" s="13"/>
      <c r="D170" s="925"/>
      <c r="E170" s="940"/>
      <c r="F170" s="926"/>
      <c r="G170" s="926"/>
      <c r="H170" s="926"/>
      <c r="I170" s="926"/>
      <c r="J170" s="926"/>
      <c r="K170" s="926"/>
      <c r="L170" s="926"/>
      <c r="M170" s="926"/>
      <c r="N170" s="926"/>
      <c r="O170" s="925"/>
      <c r="P170" s="22"/>
      <c r="Q170" s="22"/>
      <c r="S170" s="64"/>
      <c r="W170" s="927"/>
      <c r="X170" s="13"/>
      <c r="Y170" s="1"/>
      <c r="Z170" s="928"/>
      <c r="AB170" s="929"/>
    </row>
    <row r="171" spans="2:28">
      <c r="B171" s="3"/>
      <c r="C171" s="13"/>
      <c r="D171" s="925"/>
      <c r="E171" s="940"/>
      <c r="F171" s="926"/>
      <c r="G171" s="926"/>
      <c r="H171" s="926"/>
      <c r="I171" s="926"/>
      <c r="J171" s="926"/>
      <c r="K171" s="926"/>
      <c r="L171" s="926"/>
      <c r="M171" s="926"/>
      <c r="N171" s="926"/>
      <c r="O171" s="930"/>
      <c r="P171" s="107"/>
      <c r="Q171" s="22"/>
      <c r="W171" s="927"/>
      <c r="X171" s="13"/>
      <c r="Y171" s="1"/>
      <c r="Z171" s="928"/>
      <c r="AB171" s="929"/>
    </row>
    <row r="172" spans="2:28" ht="12" customHeight="1">
      <c r="B172" s="3"/>
      <c r="C172" s="13"/>
      <c r="D172" s="925"/>
      <c r="E172" s="940"/>
      <c r="F172" s="926"/>
      <c r="G172" s="926"/>
      <c r="H172" s="940"/>
      <c r="I172" s="926"/>
      <c r="J172" s="926"/>
      <c r="K172" s="940"/>
      <c r="L172" s="926"/>
      <c r="M172" s="926"/>
      <c r="N172" s="926"/>
      <c r="O172" s="925"/>
      <c r="P172" s="107"/>
      <c r="Q172" s="22"/>
      <c r="W172" s="927"/>
      <c r="X172" s="13"/>
      <c r="Y172" s="1"/>
      <c r="Z172" s="928"/>
      <c r="AB172" s="931"/>
    </row>
    <row r="173" spans="2:28">
      <c r="B173" s="3"/>
      <c r="C173" s="13"/>
      <c r="D173" s="925"/>
      <c r="E173" s="940"/>
      <c r="F173" s="926"/>
      <c r="G173" s="926"/>
      <c r="H173" s="926"/>
      <c r="I173" s="926"/>
      <c r="J173" s="926"/>
      <c r="K173" s="926"/>
      <c r="L173" s="926"/>
      <c r="M173" s="926"/>
      <c r="N173" s="940"/>
      <c r="O173" s="932"/>
      <c r="P173" s="107"/>
      <c r="Q173" s="22"/>
      <c r="W173" s="927"/>
      <c r="X173" s="13"/>
      <c r="Y173" s="1"/>
      <c r="Z173" s="928"/>
      <c r="AB173" s="929"/>
    </row>
    <row r="174" spans="2:28" ht="12.75" customHeight="1">
      <c r="B174" s="3"/>
      <c r="C174" s="13"/>
      <c r="D174" s="925"/>
      <c r="E174" s="940"/>
      <c r="F174" s="926"/>
      <c r="G174" s="926"/>
      <c r="H174" s="926"/>
      <c r="I174" s="926"/>
      <c r="J174" s="926"/>
      <c r="K174" s="926"/>
      <c r="L174" s="926"/>
      <c r="M174" s="926"/>
      <c r="N174" s="926"/>
      <c r="O174" s="925"/>
      <c r="P174" s="107"/>
      <c r="Q174" s="22"/>
      <c r="W174" s="927"/>
      <c r="X174" s="13"/>
      <c r="Y174" s="1"/>
      <c r="Z174" s="928"/>
      <c r="AB174" s="933"/>
    </row>
    <row r="175" spans="2:28">
      <c r="B175" s="3"/>
      <c r="C175" s="13"/>
      <c r="D175" s="925"/>
      <c r="E175" s="940"/>
      <c r="F175" s="926"/>
      <c r="G175" s="926"/>
      <c r="H175" s="926"/>
      <c r="I175" s="926"/>
      <c r="J175" s="926"/>
      <c r="K175" s="926"/>
      <c r="L175" s="926"/>
      <c r="M175" s="926"/>
      <c r="N175" s="926"/>
      <c r="O175" s="925"/>
      <c r="P175" s="107"/>
      <c r="Q175" s="22"/>
      <c r="W175" s="927"/>
      <c r="X175" s="13"/>
      <c r="Y175" s="1"/>
      <c r="Z175" s="928"/>
      <c r="AB175" s="931"/>
    </row>
    <row r="176" spans="2:28" ht="15" customHeight="1">
      <c r="B176" s="3"/>
      <c r="C176" s="13"/>
      <c r="D176" s="925"/>
      <c r="E176" s="940"/>
      <c r="F176" s="926"/>
      <c r="G176" s="9"/>
      <c r="H176" s="935"/>
      <c r="I176" s="940"/>
      <c r="J176" s="926"/>
      <c r="K176" s="926"/>
      <c r="L176" s="926"/>
      <c r="M176" s="926"/>
      <c r="N176" s="926"/>
      <c r="O176" s="934"/>
      <c r="P176" s="107"/>
      <c r="Q176" s="22"/>
      <c r="W176" s="927"/>
      <c r="X176" s="13"/>
      <c r="Y176" s="1"/>
      <c r="Z176" s="928"/>
      <c r="AB176" s="933"/>
    </row>
    <row r="177" spans="2:28">
      <c r="B177" s="3"/>
      <c r="C177" s="13"/>
      <c r="D177" s="925"/>
      <c r="E177" s="940"/>
      <c r="F177" s="926"/>
      <c r="G177" s="926"/>
      <c r="H177" s="926"/>
      <c r="I177" s="926"/>
      <c r="J177" s="926"/>
      <c r="K177" s="926"/>
      <c r="L177" s="926"/>
      <c r="M177" s="926"/>
      <c r="N177" s="926"/>
      <c r="O177" s="925"/>
      <c r="P177" s="107"/>
      <c r="Q177" s="22"/>
      <c r="W177" s="927"/>
      <c r="X177" s="13"/>
      <c r="Y177" s="1"/>
      <c r="Z177" s="928"/>
      <c r="AB177" s="929"/>
    </row>
    <row r="178" spans="2:28">
      <c r="B178" s="3"/>
      <c r="C178" s="13"/>
      <c r="D178" s="925"/>
      <c r="E178" s="940"/>
      <c r="F178" s="926"/>
      <c r="G178" s="926"/>
      <c r="H178" s="926"/>
      <c r="I178" s="926"/>
      <c r="J178" s="926"/>
      <c r="K178" s="926"/>
      <c r="L178" s="926"/>
      <c r="M178" s="926"/>
      <c r="N178" s="926"/>
      <c r="O178" s="925"/>
      <c r="P178" s="107"/>
      <c r="Q178" s="22"/>
      <c r="W178" s="927"/>
      <c r="X178" s="13"/>
      <c r="Y178" s="1"/>
      <c r="Z178" s="928"/>
      <c r="AB178" s="929"/>
    </row>
    <row r="179" spans="2:28">
      <c r="B179" s="3"/>
      <c r="C179" s="13"/>
      <c r="D179" s="925"/>
      <c r="E179" s="940"/>
      <c r="F179" s="926"/>
      <c r="G179" s="926"/>
      <c r="H179" s="926"/>
      <c r="I179" s="926"/>
      <c r="J179" s="926"/>
      <c r="K179" s="926"/>
      <c r="L179" s="926"/>
      <c r="M179" s="926"/>
      <c r="N179" s="926"/>
      <c r="O179" s="925"/>
      <c r="P179" s="107"/>
      <c r="Q179" s="22"/>
      <c r="W179" s="927"/>
      <c r="X179" s="13"/>
      <c r="Y179" s="1"/>
      <c r="Z179" s="928"/>
      <c r="AB179" s="929"/>
    </row>
    <row r="180" spans="2:28">
      <c r="B180" s="3"/>
      <c r="C180" s="13"/>
      <c r="D180" s="925"/>
      <c r="E180" s="940"/>
      <c r="F180" s="926"/>
      <c r="G180" s="926"/>
      <c r="H180" s="926"/>
      <c r="I180" s="926"/>
      <c r="J180" s="926"/>
      <c r="K180" s="926"/>
      <c r="L180" s="926"/>
      <c r="M180" s="926"/>
      <c r="N180" s="926"/>
      <c r="O180" s="925"/>
      <c r="P180" s="107"/>
      <c r="Q180" s="22"/>
      <c r="W180" s="927"/>
      <c r="X180" s="13"/>
      <c r="Y180" s="1"/>
      <c r="Z180" s="928"/>
      <c r="AB180" s="929"/>
    </row>
    <row r="181" spans="2:28">
      <c r="B181" s="3"/>
      <c r="C181" s="13"/>
      <c r="D181" s="925"/>
      <c r="E181" s="940"/>
      <c r="F181" s="926"/>
      <c r="G181" s="926"/>
      <c r="H181" s="926"/>
      <c r="I181" s="926"/>
      <c r="J181" s="926"/>
      <c r="K181" s="926"/>
      <c r="L181" s="926"/>
      <c r="M181" s="926"/>
      <c r="N181" s="926"/>
      <c r="O181" s="925"/>
      <c r="P181" s="107"/>
      <c r="Q181" s="22"/>
      <c r="W181" s="927"/>
      <c r="X181" s="13"/>
      <c r="Y181" s="1"/>
      <c r="Z181" s="928"/>
      <c r="AB181" s="929"/>
    </row>
    <row r="182" spans="2:28">
      <c r="B182" s="3"/>
      <c r="C182" s="13"/>
      <c r="D182" s="925"/>
      <c r="E182" s="940"/>
      <c r="F182" s="926"/>
      <c r="G182" s="926"/>
      <c r="H182" s="926"/>
      <c r="I182" s="926"/>
      <c r="J182" s="926"/>
      <c r="K182" s="926"/>
      <c r="L182" s="926"/>
      <c r="M182" s="926"/>
      <c r="N182" s="926"/>
      <c r="O182" s="925"/>
      <c r="P182" s="107"/>
      <c r="Q182" s="22"/>
      <c r="W182" s="927"/>
      <c r="X182" s="13"/>
      <c r="Y182" s="1"/>
      <c r="Z182" s="928"/>
      <c r="AB182" s="929"/>
    </row>
    <row r="183" spans="2:28">
      <c r="B183" s="3"/>
      <c r="C183" s="13"/>
      <c r="D183" s="925"/>
      <c r="E183" s="940"/>
      <c r="F183" s="926"/>
      <c r="G183" s="926"/>
      <c r="H183" s="926"/>
      <c r="I183" s="926"/>
      <c r="J183" s="926"/>
      <c r="K183" s="926"/>
      <c r="L183" s="926"/>
      <c r="M183" s="926"/>
      <c r="N183" s="926"/>
      <c r="O183" s="925"/>
      <c r="P183" s="107"/>
      <c r="Q183" s="22"/>
      <c r="W183" s="927"/>
      <c r="X183" s="13"/>
      <c r="Y183" s="1"/>
      <c r="Z183" s="928"/>
      <c r="AB183" s="929"/>
    </row>
    <row r="184" spans="2:28" ht="13.5" customHeight="1">
      <c r="B184" s="3"/>
      <c r="C184" s="13"/>
      <c r="D184" s="925"/>
      <c r="E184" s="940"/>
      <c r="F184" s="926"/>
      <c r="G184" s="926"/>
      <c r="H184" s="926"/>
      <c r="I184" s="926"/>
      <c r="J184" s="926"/>
      <c r="K184" s="926"/>
      <c r="L184" s="926"/>
      <c r="M184" s="926"/>
      <c r="N184" s="926"/>
      <c r="O184" s="925"/>
      <c r="P184" s="107"/>
      <c r="Q184" s="22"/>
      <c r="W184" s="927"/>
      <c r="X184" s="13"/>
      <c r="Y184" s="1"/>
      <c r="Z184" s="928"/>
      <c r="AB184" s="931"/>
    </row>
    <row r="185" spans="2:28" ht="12" customHeight="1">
      <c r="B185" s="3"/>
      <c r="C185" s="13"/>
      <c r="D185" s="925"/>
      <c r="E185" s="943"/>
      <c r="F185" s="935"/>
      <c r="G185" s="936"/>
      <c r="H185" s="926"/>
      <c r="I185" s="926"/>
      <c r="J185" s="926"/>
      <c r="K185" s="926"/>
      <c r="L185" s="935"/>
      <c r="M185" s="935"/>
      <c r="N185" s="926"/>
      <c r="O185" s="930"/>
      <c r="P185" s="107"/>
      <c r="Q185" s="22"/>
      <c r="W185" s="927"/>
      <c r="X185" s="13"/>
      <c r="Y185" s="1"/>
      <c r="Z185" s="928"/>
      <c r="AB185" s="937"/>
    </row>
    <row r="186" spans="2:28">
      <c r="B186" s="3"/>
      <c r="C186" s="13"/>
      <c r="D186" s="925"/>
      <c r="E186" s="943"/>
      <c r="F186" s="935"/>
      <c r="G186" s="936"/>
      <c r="H186" s="926"/>
      <c r="I186" s="926"/>
      <c r="J186" s="926"/>
      <c r="K186" s="926"/>
      <c r="L186" s="935"/>
      <c r="M186" s="935"/>
      <c r="N186" s="926"/>
      <c r="O186" s="925"/>
      <c r="P186" s="107"/>
      <c r="Q186" s="22"/>
      <c r="W186" s="927"/>
      <c r="X186" s="13"/>
      <c r="Y186" s="1"/>
      <c r="Z186" s="928"/>
      <c r="AB186" s="929"/>
    </row>
    <row r="187" spans="2:28" ht="13.5" customHeight="1">
      <c r="B187" s="3"/>
      <c r="C187" s="13"/>
      <c r="D187" s="925"/>
      <c r="E187" s="943"/>
      <c r="F187" s="935"/>
      <c r="G187" s="936"/>
      <c r="H187" s="926"/>
      <c r="I187" s="926"/>
      <c r="J187" s="926"/>
      <c r="K187" s="926"/>
      <c r="L187" s="935"/>
      <c r="M187" s="935"/>
      <c r="N187" s="926"/>
      <c r="O187" s="925"/>
      <c r="P187" s="107"/>
      <c r="Q187" s="22"/>
      <c r="W187" s="927"/>
      <c r="X187" s="13"/>
      <c r="Y187" s="1"/>
      <c r="Z187" s="928"/>
      <c r="AB187" s="929"/>
    </row>
    <row r="188" spans="2:28">
      <c r="B188" s="3"/>
      <c r="C188" s="13"/>
      <c r="D188" s="925"/>
      <c r="E188" s="943"/>
      <c r="F188" s="935"/>
      <c r="G188" s="936"/>
      <c r="H188" s="926"/>
      <c r="I188" s="947"/>
      <c r="J188" s="926"/>
      <c r="K188" s="947"/>
      <c r="L188" s="940"/>
      <c r="M188" s="940"/>
      <c r="N188" s="926"/>
      <c r="O188" s="925"/>
      <c r="P188" s="107"/>
      <c r="Q188" s="22"/>
      <c r="W188" s="927"/>
      <c r="X188" s="13"/>
      <c r="Y188" s="1"/>
      <c r="Z188" s="928"/>
      <c r="AB188" s="933"/>
    </row>
    <row r="189" spans="2:28">
      <c r="B189" s="3"/>
      <c r="C189" s="13"/>
      <c r="D189" s="925"/>
      <c r="E189" s="943"/>
      <c r="F189" s="940"/>
      <c r="G189" s="936"/>
      <c r="H189" s="926"/>
      <c r="I189" s="926"/>
      <c r="J189" s="926"/>
      <c r="K189" s="926"/>
      <c r="L189" s="940"/>
      <c r="M189" s="940"/>
      <c r="N189" s="926"/>
      <c r="O189" s="925"/>
      <c r="P189" s="107"/>
      <c r="Q189" s="22"/>
      <c r="W189" s="927"/>
      <c r="X189" s="13"/>
      <c r="Y189" s="1"/>
      <c r="Z189" s="928"/>
      <c r="AB189" s="929"/>
    </row>
    <row r="190" spans="2:28" ht="12" customHeight="1">
      <c r="B190" s="3"/>
      <c r="C190" s="13"/>
      <c r="D190" s="925"/>
      <c r="E190" s="943"/>
      <c r="F190" s="935"/>
      <c r="G190" s="936"/>
      <c r="H190" s="926"/>
      <c r="I190" s="926"/>
      <c r="J190" s="926"/>
      <c r="K190" s="926"/>
      <c r="L190" s="940"/>
      <c r="M190" s="935"/>
      <c r="N190" s="926"/>
      <c r="O190" s="925"/>
      <c r="P190" s="107"/>
      <c r="Q190" s="22"/>
      <c r="W190" s="927"/>
      <c r="X190" s="13"/>
      <c r="Y190" s="1"/>
      <c r="Z190" s="928"/>
      <c r="AB190" s="929"/>
    </row>
    <row r="191" spans="2:28" ht="12.75" customHeight="1">
      <c r="B191" s="3"/>
      <c r="C191" s="13"/>
      <c r="D191" s="925"/>
      <c r="E191" s="943"/>
      <c r="F191" s="940"/>
      <c r="G191" s="936"/>
      <c r="H191" s="926"/>
      <c r="I191" s="926"/>
      <c r="J191" s="926"/>
      <c r="K191" s="926"/>
      <c r="L191" s="936"/>
      <c r="M191" s="936"/>
      <c r="N191" s="9"/>
      <c r="O191" s="925"/>
      <c r="P191" s="107"/>
      <c r="Q191" s="22"/>
      <c r="W191" s="927"/>
      <c r="X191" s="13"/>
      <c r="Y191" s="1"/>
      <c r="Z191" s="928"/>
      <c r="AB191" s="929"/>
    </row>
    <row r="192" spans="2:28" ht="11.25" customHeight="1">
      <c r="B192" s="3"/>
      <c r="C192" s="13"/>
      <c r="D192" s="925"/>
      <c r="E192" s="943"/>
      <c r="F192" s="940"/>
      <c r="G192" s="940"/>
      <c r="H192" s="926"/>
      <c r="I192" s="926"/>
      <c r="J192" s="926"/>
      <c r="K192" s="935"/>
      <c r="L192" s="947"/>
      <c r="M192" s="940"/>
      <c r="N192" s="936"/>
      <c r="O192" s="925"/>
      <c r="P192" s="107"/>
      <c r="Q192" s="22"/>
      <c r="W192" s="927"/>
      <c r="X192" s="13"/>
      <c r="Y192" s="1"/>
      <c r="Z192" s="928"/>
      <c r="AB192" s="929"/>
    </row>
    <row r="193" spans="2:28" ht="12" customHeight="1">
      <c r="B193" s="3"/>
      <c r="C193" s="13"/>
      <c r="D193" s="925"/>
      <c r="E193" s="943"/>
      <c r="F193" s="935"/>
      <c r="G193" s="936"/>
      <c r="H193" s="926"/>
      <c r="I193" s="926"/>
      <c r="J193" s="926"/>
      <c r="K193" s="926"/>
      <c r="L193" s="935"/>
      <c r="M193" s="935"/>
      <c r="N193" s="926"/>
      <c r="O193" s="925"/>
      <c r="P193" s="107"/>
      <c r="Q193" s="22"/>
      <c r="W193" s="927"/>
      <c r="X193" s="13"/>
      <c r="Y193" s="1"/>
      <c r="Z193" s="928"/>
      <c r="AB193" s="929"/>
    </row>
    <row r="194" spans="2:28">
      <c r="B194" s="3"/>
      <c r="C194" s="13"/>
      <c r="D194" s="925"/>
      <c r="E194" s="943"/>
      <c r="F194" s="940"/>
      <c r="G194" s="936"/>
      <c r="H194" s="926"/>
      <c r="I194" s="926"/>
      <c r="J194" s="926"/>
      <c r="K194" s="926"/>
      <c r="L194" s="936"/>
      <c r="M194" s="936"/>
      <c r="N194" s="926"/>
      <c r="O194" s="925"/>
      <c r="P194" s="938"/>
      <c r="Q194" s="22"/>
      <c r="W194" s="927"/>
      <c r="X194" s="13"/>
      <c r="Y194" s="1"/>
      <c r="Z194" s="928"/>
      <c r="AB194" s="939"/>
    </row>
    <row r="195" spans="2:28" ht="13.5" customHeight="1">
      <c r="B195" s="3"/>
      <c r="C195" s="13"/>
      <c r="D195" s="925"/>
      <c r="E195" s="943"/>
      <c r="F195" s="935"/>
      <c r="G195" s="936"/>
      <c r="H195" s="926"/>
      <c r="I195" s="926"/>
      <c r="J195" s="926"/>
      <c r="K195" s="926"/>
      <c r="L195" s="936"/>
      <c r="M195" s="936"/>
      <c r="N195" s="926"/>
      <c r="O195" s="925"/>
      <c r="P195" s="107"/>
      <c r="Q195" s="22"/>
      <c r="W195" s="927"/>
      <c r="X195" s="13"/>
      <c r="Y195" s="1"/>
      <c r="Z195" s="928"/>
      <c r="AB195" s="929"/>
    </row>
    <row r="196" spans="2:28" ht="13.5" customHeight="1">
      <c r="B196" s="3"/>
      <c r="C196" s="13"/>
      <c r="D196" s="925"/>
      <c r="E196" s="943"/>
      <c r="F196" s="936"/>
      <c r="G196" s="940"/>
      <c r="H196" s="926"/>
      <c r="I196" s="926"/>
      <c r="J196" s="926"/>
      <c r="K196" s="926"/>
      <c r="L196" s="947"/>
      <c r="M196" s="940"/>
      <c r="N196" s="926"/>
      <c r="O196" s="925"/>
      <c r="P196" s="938"/>
      <c r="Q196" s="22"/>
      <c r="W196" s="927"/>
      <c r="X196" s="13"/>
      <c r="Y196" s="1"/>
      <c r="Z196" s="928"/>
      <c r="AB196" s="939"/>
    </row>
    <row r="197" spans="2:28" hidden="1">
      <c r="B197" s="3"/>
      <c r="C197" s="13"/>
      <c r="D197" s="925"/>
      <c r="E197" s="943"/>
      <c r="F197" s="940"/>
      <c r="G197" s="936"/>
      <c r="H197" s="926"/>
      <c r="I197" s="926"/>
      <c r="J197" s="926"/>
      <c r="K197" s="926"/>
      <c r="L197" s="935"/>
      <c r="M197" s="935"/>
      <c r="N197" s="926"/>
      <c r="O197" s="925"/>
      <c r="P197" s="107"/>
      <c r="Q197" s="22"/>
      <c r="W197" s="927"/>
      <c r="X197" s="13"/>
      <c r="Y197" s="1"/>
      <c r="Z197" s="928"/>
      <c r="AB197" s="933"/>
    </row>
    <row r="198" spans="2:28" ht="13.5" customHeight="1">
      <c r="B198" s="3"/>
      <c r="C198" s="4"/>
      <c r="D198" s="925"/>
      <c r="E198" s="943"/>
      <c r="F198" s="936"/>
      <c r="G198" s="936"/>
      <c r="H198" s="926"/>
      <c r="I198" s="926"/>
      <c r="J198" s="926"/>
      <c r="K198" s="926"/>
      <c r="L198" s="940"/>
      <c r="M198" s="940"/>
      <c r="N198" s="926"/>
      <c r="O198" s="925"/>
      <c r="P198" s="107"/>
      <c r="Q198" s="22"/>
      <c r="W198" s="927"/>
      <c r="X198" s="13"/>
      <c r="Y198" s="1"/>
      <c r="Z198" s="928"/>
      <c r="AB198" s="929"/>
    </row>
    <row r="199" spans="2:28" ht="12" customHeight="1">
      <c r="B199" s="3"/>
      <c r="C199" s="13"/>
      <c r="D199" s="925"/>
      <c r="E199" s="943"/>
      <c r="F199" s="935"/>
      <c r="G199" s="936"/>
      <c r="H199" s="947"/>
      <c r="I199" s="926"/>
      <c r="J199" s="926"/>
      <c r="K199" s="926"/>
      <c r="L199" s="935"/>
      <c r="M199" s="936"/>
      <c r="N199" s="926"/>
      <c r="O199" s="930"/>
      <c r="P199" s="938"/>
      <c r="Q199" s="22"/>
      <c r="W199" s="927"/>
      <c r="X199" s="13"/>
      <c r="Y199" s="1"/>
      <c r="Z199" s="928"/>
      <c r="AB199" s="939"/>
    </row>
    <row r="200" spans="2:28" ht="13.5" customHeight="1">
      <c r="B200" s="3"/>
      <c r="C200" s="13"/>
      <c r="D200" s="925"/>
      <c r="E200" s="943"/>
      <c r="F200" s="947"/>
      <c r="G200" s="947"/>
      <c r="H200" s="926"/>
      <c r="I200" s="926"/>
      <c r="J200" s="926"/>
      <c r="K200" s="926"/>
      <c r="L200" s="948"/>
      <c r="M200" s="947"/>
      <c r="N200" s="926"/>
      <c r="O200" s="930"/>
      <c r="P200" s="107"/>
      <c r="Q200" s="22"/>
      <c r="W200" s="927"/>
      <c r="X200" s="13"/>
      <c r="Y200" s="1"/>
      <c r="Z200" s="928"/>
      <c r="AB200" s="942"/>
    </row>
    <row r="201" spans="2:28">
      <c r="B201" s="3"/>
      <c r="C201" s="13"/>
      <c r="D201" s="925"/>
      <c r="E201" s="943"/>
      <c r="F201" s="151"/>
      <c r="G201" s="151"/>
      <c r="H201" s="151"/>
      <c r="I201" s="151"/>
      <c r="J201" s="151"/>
      <c r="K201" s="151"/>
      <c r="L201" s="151"/>
      <c r="M201" s="151"/>
      <c r="N201" s="151"/>
      <c r="O201" s="930"/>
      <c r="P201" s="107"/>
      <c r="Q201" s="22"/>
      <c r="W201" s="927"/>
      <c r="X201" s="13"/>
      <c r="Y201" s="1"/>
      <c r="Z201" s="928"/>
      <c r="AB201" s="929"/>
    </row>
    <row r="202" spans="2:28" ht="12.75" customHeight="1">
      <c r="B202" s="3"/>
      <c r="C202" s="13"/>
      <c r="D202" s="925"/>
      <c r="E202" s="943"/>
      <c r="F202" s="151"/>
      <c r="G202" s="151"/>
      <c r="H202" s="151"/>
      <c r="I202" s="151"/>
      <c r="J202" s="151"/>
      <c r="K202" s="151"/>
      <c r="L202" s="151"/>
      <c r="M202" s="151"/>
      <c r="N202" s="151"/>
      <c r="O202" s="930"/>
      <c r="P202" s="107"/>
      <c r="Q202" s="22"/>
      <c r="W202" s="927"/>
      <c r="X202" s="13"/>
      <c r="Y202" s="1"/>
      <c r="Z202" s="928"/>
      <c r="AB202" s="929"/>
    </row>
    <row r="203" spans="2:28" ht="12" customHeight="1">
      <c r="B203" s="3"/>
      <c r="C203" s="13"/>
      <c r="D203" s="925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930"/>
      <c r="P203" s="107"/>
      <c r="Q203" s="22"/>
      <c r="W203" s="927"/>
      <c r="X203" s="13"/>
      <c r="Y203" s="1"/>
      <c r="Z203" s="928"/>
      <c r="AB203" s="929"/>
    </row>
    <row r="204" spans="2:28" ht="12.75" customHeight="1">
      <c r="B204" s="3"/>
      <c r="C204" s="13"/>
      <c r="D204" s="925"/>
      <c r="E204" s="151"/>
      <c r="F204" s="151"/>
      <c r="G204" s="151"/>
      <c r="H204" s="151"/>
      <c r="I204" s="151"/>
      <c r="J204" s="151"/>
      <c r="K204" s="944"/>
      <c r="L204" s="151"/>
      <c r="M204" s="151"/>
      <c r="N204" s="151"/>
      <c r="O204" s="932"/>
      <c r="P204" s="107"/>
      <c r="Q204" s="22"/>
      <c r="W204" s="945"/>
      <c r="X204" s="13"/>
      <c r="Y204" s="946"/>
      <c r="Z204" s="928"/>
      <c r="AB204" s="929"/>
    </row>
  </sheetData>
  <pageMargins left="0.118055555555556" right="0.118055555555556" top="0.15763888888888899" bottom="0.15763888888888899" header="0.51180555555555496" footer="0.51180555555555496"/>
  <pageSetup paperSize="9" scale="84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DBBA-E1CD-4E15-B575-9D10450A6DF9}">
  <sheetPr>
    <pageSetUpPr fitToPage="1"/>
  </sheetPr>
  <dimension ref="B1:AI212"/>
  <sheetViews>
    <sheetView topLeftCell="A46" zoomScaleNormal="100" workbookViewId="0">
      <pane xSplit="1" topLeftCell="B1" activePane="topRight" state="frozen"/>
      <selection pane="topRight" sqref="A1:S58"/>
    </sheetView>
  </sheetViews>
  <sheetFormatPr defaultRowHeight="15"/>
  <cols>
    <col min="1" max="1" width="1.85546875" customWidth="1"/>
    <col min="2" max="2" width="4" customWidth="1"/>
    <col min="3" max="3" width="28.85546875" customWidth="1"/>
    <col min="4" max="4" width="8.7109375" customWidth="1"/>
    <col min="5" max="5" width="5.28515625" customWidth="1"/>
    <col min="6" max="6" width="5.7109375" customWidth="1"/>
    <col min="7" max="8" width="5.5703125" customWidth="1"/>
    <col min="9" max="9" width="6.85546875" customWidth="1"/>
    <col min="10" max="11" width="6" customWidth="1"/>
    <col min="12" max="12" width="5.7109375" customWidth="1"/>
    <col min="13" max="13" width="5.85546875" customWidth="1"/>
    <col min="14" max="14" width="6" customWidth="1"/>
    <col min="15" max="16" width="5.7109375" customWidth="1"/>
    <col min="17" max="17" width="6.140625" customWidth="1"/>
    <col min="18" max="18" width="6.28515625" customWidth="1"/>
    <col min="19" max="19" width="7" customWidth="1"/>
    <col min="20" max="20" width="6.7109375" customWidth="1"/>
    <col min="21" max="21" width="16.85546875" customWidth="1"/>
    <col min="23" max="23" width="7.7109375" customWidth="1"/>
    <col min="24" max="24" width="5.42578125" customWidth="1"/>
    <col min="25" max="25" width="8.140625" customWidth="1"/>
    <col min="26" max="26" width="11.5703125" customWidth="1"/>
    <col min="28" max="28" width="5.5703125" customWidth="1"/>
    <col min="29" max="29" width="6" customWidth="1"/>
    <col min="30" max="30" width="9" customWidth="1"/>
    <col min="31" max="31" width="0.85546875" customWidth="1"/>
    <col min="32" max="32" width="15.28515625" customWidth="1"/>
    <col min="33" max="33" width="14.5703125" customWidth="1"/>
  </cols>
  <sheetData>
    <row r="1" spans="2:34" ht="10.5" customHeight="1"/>
    <row r="2" spans="2:34" ht="15.75" thickBot="1">
      <c r="B2" s="143" t="s">
        <v>514</v>
      </c>
      <c r="D2" s="94" t="s">
        <v>27</v>
      </c>
      <c r="J2" t="s">
        <v>439</v>
      </c>
      <c r="O2" s="29"/>
      <c r="P2" s="29"/>
    </row>
    <row r="3" spans="2:34" ht="13.5" customHeight="1">
      <c r="B3" s="88"/>
      <c r="C3" s="634"/>
      <c r="D3" s="27" t="s">
        <v>28</v>
      </c>
      <c r="E3" s="67" t="s">
        <v>353</v>
      </c>
      <c r="F3" s="67"/>
      <c r="G3" s="67"/>
      <c r="H3" s="67"/>
      <c r="I3" s="67"/>
      <c r="J3" s="67"/>
      <c r="K3" s="67"/>
      <c r="L3" s="67"/>
      <c r="M3" s="51"/>
      <c r="N3" s="51"/>
      <c r="Q3" s="173" t="s">
        <v>29</v>
      </c>
      <c r="R3" s="173" t="s">
        <v>30</v>
      </c>
      <c r="S3" s="2236" t="s">
        <v>933</v>
      </c>
      <c r="T3" s="2236" t="s">
        <v>933</v>
      </c>
      <c r="V3" s="22"/>
      <c r="W3" s="13"/>
    </row>
    <row r="4" spans="2:34" ht="13.5" customHeight="1">
      <c r="B4" s="61"/>
      <c r="C4" s="635"/>
      <c r="D4" s="636" t="s">
        <v>287</v>
      </c>
      <c r="E4" s="850" t="s">
        <v>442</v>
      </c>
      <c r="F4" s="14"/>
      <c r="G4" s="14"/>
      <c r="H4" s="14"/>
      <c r="I4" s="14"/>
      <c r="J4" s="14"/>
      <c r="K4" s="14"/>
      <c r="L4" s="14"/>
      <c r="M4" s="13"/>
      <c r="N4" s="13"/>
      <c r="Q4" s="1517" t="s">
        <v>303</v>
      </c>
      <c r="R4" s="636" t="s">
        <v>31</v>
      </c>
      <c r="S4" s="2237" t="s">
        <v>129</v>
      </c>
      <c r="T4" s="2237" t="s">
        <v>129</v>
      </c>
      <c r="V4" s="22"/>
      <c r="W4" s="13"/>
    </row>
    <row r="5" spans="2:34" ht="11.25" customHeight="1" thickBot="1">
      <c r="B5" s="61"/>
      <c r="C5" s="637" t="s">
        <v>32</v>
      </c>
      <c r="D5" s="70" t="s">
        <v>29</v>
      </c>
      <c r="E5" s="72" t="s">
        <v>302</v>
      </c>
      <c r="F5" s="72"/>
      <c r="G5" s="72"/>
      <c r="H5" s="72"/>
      <c r="I5" t="s">
        <v>931</v>
      </c>
      <c r="K5" s="72"/>
      <c r="L5" s="48" t="s">
        <v>145</v>
      </c>
      <c r="M5" s="52"/>
      <c r="N5" s="52"/>
      <c r="Q5" s="636" t="s">
        <v>34</v>
      </c>
      <c r="R5" s="636" t="s">
        <v>33</v>
      </c>
      <c r="S5" s="2238" t="s">
        <v>934</v>
      </c>
      <c r="T5" s="2237" t="s">
        <v>934</v>
      </c>
      <c r="U5" s="62"/>
      <c r="V5" s="22"/>
      <c r="W5" s="13"/>
      <c r="AD5" s="922"/>
    </row>
    <row r="6" spans="2:34" ht="13.5" customHeight="1">
      <c r="B6" s="61" t="s">
        <v>288</v>
      </c>
      <c r="C6" s="635"/>
      <c r="D6" s="69" t="s">
        <v>46</v>
      </c>
      <c r="E6" s="27" t="s">
        <v>35</v>
      </c>
      <c r="F6" s="27" t="s">
        <v>36</v>
      </c>
      <c r="G6" s="27" t="s">
        <v>37</v>
      </c>
      <c r="H6" s="27" t="s">
        <v>38</v>
      </c>
      <c r="I6" s="26" t="s">
        <v>39</v>
      </c>
      <c r="J6" s="27" t="s">
        <v>40</v>
      </c>
      <c r="K6" s="26" t="s">
        <v>41</v>
      </c>
      <c r="L6" s="27" t="s">
        <v>42</v>
      </c>
      <c r="M6" s="26" t="s">
        <v>43</v>
      </c>
      <c r="N6" s="27" t="s">
        <v>44</v>
      </c>
      <c r="O6" s="27" t="s">
        <v>549</v>
      </c>
      <c r="P6" s="1101" t="s">
        <v>550</v>
      </c>
      <c r="Q6" s="636">
        <v>12</v>
      </c>
      <c r="R6" s="636" t="s">
        <v>45</v>
      </c>
      <c r="S6" s="636" t="s">
        <v>34</v>
      </c>
      <c r="T6" s="1517" t="s">
        <v>935</v>
      </c>
      <c r="V6" s="22"/>
      <c r="W6" s="13"/>
      <c r="AB6" s="150"/>
      <c r="AD6" s="922"/>
    </row>
    <row r="7" spans="2:34" ht="9.75" customHeight="1">
      <c r="B7" s="61"/>
      <c r="C7" s="637" t="s">
        <v>289</v>
      </c>
      <c r="E7" s="70" t="s">
        <v>47</v>
      </c>
      <c r="F7" s="70" t="s">
        <v>47</v>
      </c>
      <c r="G7" s="70" t="s">
        <v>47</v>
      </c>
      <c r="H7" s="70" t="s">
        <v>47</v>
      </c>
      <c r="I7" s="22" t="s">
        <v>47</v>
      </c>
      <c r="J7" s="70" t="s">
        <v>47</v>
      </c>
      <c r="K7" s="70" t="s">
        <v>47</v>
      </c>
      <c r="L7" s="22" t="s">
        <v>47</v>
      </c>
      <c r="M7" s="70" t="s">
        <v>47</v>
      </c>
      <c r="N7" s="70" t="s">
        <v>47</v>
      </c>
      <c r="O7" s="70" t="s">
        <v>47</v>
      </c>
      <c r="P7" s="607" t="s">
        <v>47</v>
      </c>
      <c r="Q7" s="636" t="s">
        <v>936</v>
      </c>
      <c r="R7" s="636" t="s">
        <v>279</v>
      </c>
      <c r="S7" s="636" t="s">
        <v>937</v>
      </c>
      <c r="T7" s="1517"/>
      <c r="U7" s="62"/>
      <c r="V7" s="22"/>
      <c r="W7" s="13"/>
      <c r="AB7" s="150"/>
      <c r="AD7" s="923"/>
    </row>
    <row r="8" spans="2:34" ht="11.25" customHeight="1" thickBot="1">
      <c r="B8" s="61"/>
      <c r="C8" s="638"/>
      <c r="D8" s="73" t="s">
        <v>290</v>
      </c>
      <c r="E8" s="52"/>
      <c r="F8" s="53"/>
      <c r="G8" s="52"/>
      <c r="H8" s="53"/>
      <c r="I8" s="106"/>
      <c r="J8" s="53"/>
      <c r="K8" s="53"/>
      <c r="L8" s="52"/>
      <c r="M8" s="53"/>
      <c r="N8" s="630"/>
      <c r="O8" s="985"/>
      <c r="P8" s="647"/>
      <c r="Q8" s="636"/>
      <c r="R8" s="636" t="s">
        <v>280</v>
      </c>
      <c r="S8" s="2239">
        <v>0.1</v>
      </c>
      <c r="T8" s="2240">
        <v>1</v>
      </c>
      <c r="U8" s="3"/>
      <c r="V8" s="22"/>
      <c r="W8" s="13"/>
      <c r="Y8" s="345"/>
      <c r="Z8" s="22"/>
      <c r="AA8" s="3"/>
      <c r="AB8" s="924"/>
      <c r="AD8" s="923"/>
    </row>
    <row r="9" spans="2:34">
      <c r="B9" s="639">
        <v>1</v>
      </c>
      <c r="C9" s="640" t="s">
        <v>291</v>
      </c>
      <c r="D9" s="189">
        <v>12</v>
      </c>
      <c r="E9" s="157">
        <f>'12-18л. РАСКЛАДКА'!U11</f>
        <v>0</v>
      </c>
      <c r="F9" s="75">
        <f>'12-18л. РАСКЛАДКА'!U70</f>
        <v>0</v>
      </c>
      <c r="G9" s="75">
        <f>'12-18л. РАСКЛАДКА'!U132</f>
        <v>0</v>
      </c>
      <c r="H9" s="75">
        <f>'12-18л. РАСКЛАДКА'!U189</f>
        <v>0</v>
      </c>
      <c r="I9" s="75">
        <f>'12-18л. РАСКЛАДКА'!U245</f>
        <v>50</v>
      </c>
      <c r="J9" s="75">
        <f>'12-18л. РАСКЛАДКА'!U300</f>
        <v>0</v>
      </c>
      <c r="K9" s="75">
        <f>'12-18л. РАСКЛАДКА'!U354</f>
        <v>0</v>
      </c>
      <c r="L9" s="75">
        <f>'12-18л. РАСКЛАДКА'!U405</f>
        <v>30</v>
      </c>
      <c r="M9" s="75">
        <f>'12-18л. РАСКЛАДКА'!U458</f>
        <v>0</v>
      </c>
      <c r="N9" s="75">
        <f>'12-18л. РАСКЛАДКА'!U513</f>
        <v>20</v>
      </c>
      <c r="O9" s="75">
        <f>'12-18л. РАСКЛАДКА'!U567</f>
        <v>20</v>
      </c>
      <c r="P9" s="2215">
        <f>'12-18л. РАСКЛАДКА'!U623</f>
        <v>24</v>
      </c>
      <c r="Q9" s="2250">
        <f>E9+F9+G9+H9+I9+J9+K9+L9+M9+N9+O9+P9</f>
        <v>144</v>
      </c>
      <c r="R9" s="2614">
        <f>(Q9*100/S9)-100</f>
        <v>0</v>
      </c>
      <c r="S9" s="2241">
        <f>(T9*10/100)*12</f>
        <v>144</v>
      </c>
      <c r="T9" s="2242">
        <v>120</v>
      </c>
      <c r="U9" s="3"/>
      <c r="Y9" s="927"/>
      <c r="Z9" s="13"/>
      <c r="AA9" s="1"/>
      <c r="AB9" s="928"/>
      <c r="AD9" s="2209"/>
    </row>
    <row r="10" spans="2:34">
      <c r="B10" s="596">
        <v>2</v>
      </c>
      <c r="C10" s="238" t="s">
        <v>48</v>
      </c>
      <c r="D10" s="160">
        <v>20</v>
      </c>
      <c r="E10" s="157">
        <f>'12-18л. РАСКЛАДКА'!U12</f>
        <v>35</v>
      </c>
      <c r="F10" s="75">
        <f>'12-18л. РАСКЛАДКА'!U71</f>
        <v>40</v>
      </c>
      <c r="G10" s="75">
        <f>'12-18л. РАСКЛАДКА'!U133</f>
        <v>47</v>
      </c>
      <c r="H10" s="75">
        <f>'12-18л. РАСКЛАДКА'!U190</f>
        <v>0</v>
      </c>
      <c r="I10" s="75">
        <f>'12-18л. РАСКЛАДКА'!U246</f>
        <v>22</v>
      </c>
      <c r="J10" s="75">
        <f>'12-18л. РАСКЛАДКА'!U301</f>
        <v>50</v>
      </c>
      <c r="K10" s="75">
        <f>'12-18л. РАСКЛАДКА'!U355</f>
        <v>0</v>
      </c>
      <c r="L10" s="75">
        <f>'12-18л. РАСКЛАДКА'!U406</f>
        <v>6</v>
      </c>
      <c r="M10" s="75">
        <f>'12-18л. РАСКЛАДКА'!U459</f>
        <v>40</v>
      </c>
      <c r="N10" s="75">
        <f>'12-18л. РАСКЛАДКА'!U514</f>
        <v>0</v>
      </c>
      <c r="O10" s="75">
        <f>'12-18л. РАСКЛАДКА'!U568</f>
        <v>0</v>
      </c>
      <c r="P10" s="2215">
        <f>'12-18л. РАСКЛАДКА'!U624</f>
        <v>0</v>
      </c>
      <c r="Q10" s="2251">
        <f>E10+F10+G10+H10+I10+J10+K10+L10+M10+N10+O10+P10</f>
        <v>240</v>
      </c>
      <c r="R10" s="2564">
        <f t="shared" ref="R10:R43" si="0">(Q10*100/S10)-100</f>
        <v>0</v>
      </c>
      <c r="S10" s="2243">
        <f t="shared" ref="S10:S43" si="1">(T10*10/100)*12</f>
        <v>240</v>
      </c>
      <c r="T10" s="2244">
        <v>200</v>
      </c>
      <c r="U10" s="3"/>
      <c r="Y10" s="927"/>
      <c r="Z10" s="13"/>
      <c r="AA10" s="1"/>
      <c r="AB10" s="928"/>
      <c r="AD10" s="2209"/>
    </row>
    <row r="11" spans="2:34">
      <c r="B11" s="596">
        <v>3</v>
      </c>
      <c r="C11" s="238" t="s">
        <v>49</v>
      </c>
      <c r="D11" s="160">
        <v>2</v>
      </c>
      <c r="E11" s="157">
        <f>'12-18л. РАСКЛАДКА'!U13</f>
        <v>0</v>
      </c>
      <c r="F11" s="75">
        <f>'12-18л. РАСКЛАДКА'!U72</f>
        <v>1.35</v>
      </c>
      <c r="G11" s="75">
        <f>'12-18л. РАСКЛАДКА'!U134</f>
        <v>2.71</v>
      </c>
      <c r="H11" s="75">
        <f>'12-18л. РАСКЛАДКА'!U191</f>
        <v>0</v>
      </c>
      <c r="I11" s="75">
        <f>'12-18л. РАСКЛАДКА'!U247</f>
        <v>0</v>
      </c>
      <c r="J11" s="75">
        <f>'12-18л. РАСКЛАДКА'!U302</f>
        <v>4.25</v>
      </c>
      <c r="K11" s="75">
        <f>'12-18л. РАСКЛАДКА'!U356</f>
        <v>2.75</v>
      </c>
      <c r="L11" s="75">
        <f>'12-18л. РАСКЛАДКА'!U407</f>
        <v>0.69</v>
      </c>
      <c r="M11" s="75">
        <f>'12-18л. РАСКЛАДКА'!U460</f>
        <v>2.2000000000000002</v>
      </c>
      <c r="N11" s="75">
        <f>'12-18л. РАСКЛАДКА'!U515</f>
        <v>3.3</v>
      </c>
      <c r="O11" s="75">
        <f>'12-18л. РАСКЛАДКА'!U569</f>
        <v>4.95</v>
      </c>
      <c r="P11" s="2215">
        <f>'12-18л. РАСКЛАДКА'!U625</f>
        <v>1.8</v>
      </c>
      <c r="Q11" s="2251">
        <f t="shared" ref="Q11:Q43" si="2">E11+F11+G11+H11+I11+J11+K11+L11+M11+N11+O11+P11</f>
        <v>24</v>
      </c>
      <c r="R11" s="2564">
        <f t="shared" si="0"/>
        <v>0</v>
      </c>
      <c r="S11" s="2243">
        <f t="shared" si="1"/>
        <v>24</v>
      </c>
      <c r="T11" s="2244">
        <v>20</v>
      </c>
      <c r="U11" s="3"/>
      <c r="Y11" s="927"/>
      <c r="Z11" s="13"/>
      <c r="AA11" s="1"/>
      <c r="AB11" s="928"/>
      <c r="AD11" s="2210"/>
    </row>
    <row r="12" spans="2:34">
      <c r="B12" s="596">
        <v>4</v>
      </c>
      <c r="C12" s="238" t="s">
        <v>50</v>
      </c>
      <c r="D12" s="160">
        <v>5</v>
      </c>
      <c r="E12" s="157">
        <f>'12-18л. РАСКЛАДКА'!U14</f>
        <v>0</v>
      </c>
      <c r="F12" s="75">
        <f>'12-18л. РАСКЛАДКА'!U73</f>
        <v>20.7</v>
      </c>
      <c r="G12" s="75">
        <f>'12-18л. РАСКЛАДКА'!U135</f>
        <v>0</v>
      </c>
      <c r="H12" s="75">
        <f>'12-18л. РАСКЛАДКА'!U192</f>
        <v>10.8</v>
      </c>
      <c r="I12" s="75">
        <f>'12-18л. РАСКЛАДКА'!U248</f>
        <v>0</v>
      </c>
      <c r="J12" s="75">
        <f>'12-18л. РАСКЛАДКА'!U303</f>
        <v>0</v>
      </c>
      <c r="K12" s="75">
        <f>'12-18л. РАСКЛАДКА'!U357</f>
        <v>0</v>
      </c>
      <c r="L12" s="75">
        <f>'12-18л. РАСКЛАДКА'!U408</f>
        <v>0</v>
      </c>
      <c r="M12" s="75">
        <f>'12-18л. РАСКЛАДКА'!U461</f>
        <v>0</v>
      </c>
      <c r="N12" s="75">
        <f>'12-18л. РАСКЛАДКА'!U516</f>
        <v>4.91</v>
      </c>
      <c r="O12" s="75">
        <f>'12-18л. РАСКЛАДКА'!U570</f>
        <v>13.59</v>
      </c>
      <c r="P12" s="2215">
        <f>'12-18л. РАСКЛАДКА'!U626</f>
        <v>10</v>
      </c>
      <c r="Q12" s="2251">
        <f t="shared" si="2"/>
        <v>60</v>
      </c>
      <c r="R12" s="2564">
        <f t="shared" si="0"/>
        <v>0</v>
      </c>
      <c r="S12" s="2243">
        <f t="shared" si="1"/>
        <v>60</v>
      </c>
      <c r="T12" s="2244">
        <v>50</v>
      </c>
      <c r="U12" s="3"/>
      <c r="Y12" s="927"/>
      <c r="Z12" s="13"/>
      <c r="AA12" s="1"/>
      <c r="AB12" s="928"/>
      <c r="AD12" s="2209"/>
    </row>
    <row r="13" spans="2:34">
      <c r="B13" s="596">
        <v>5</v>
      </c>
      <c r="C13" s="238" t="s">
        <v>51</v>
      </c>
      <c r="D13" s="160">
        <v>2</v>
      </c>
      <c r="E13" s="157">
        <f>'12-18л. РАСКЛАДКА'!U15</f>
        <v>0</v>
      </c>
      <c r="F13" s="75">
        <f>'12-18л. РАСКЛАДКА'!U74</f>
        <v>0</v>
      </c>
      <c r="G13" s="75">
        <f>'12-18л. РАСКЛАДКА'!U136</f>
        <v>0</v>
      </c>
      <c r="H13" s="75">
        <f>'12-18л. РАСКЛАДКА'!U193</f>
        <v>0</v>
      </c>
      <c r="I13" s="75">
        <f>'12-18л. РАСКЛАДКА'!U249</f>
        <v>0</v>
      </c>
      <c r="J13" s="75">
        <f>'12-18л. РАСКЛАДКА'!U304</f>
        <v>0</v>
      </c>
      <c r="K13" s="75">
        <f>'12-18л. РАСКЛАДКА'!U358</f>
        <v>24</v>
      </c>
      <c r="L13" s="75">
        <f>'12-18л. РАСКЛАДКА'!U409</f>
        <v>0</v>
      </c>
      <c r="M13" s="75">
        <f>'12-18л. РАСКЛАДКА'!U462</f>
        <v>0</v>
      </c>
      <c r="N13" s="75">
        <f>'12-18л. РАСКЛАДКА'!U517</f>
        <v>0</v>
      </c>
      <c r="O13" s="75">
        <f>'12-18л. РАСКЛАДКА'!U571</f>
        <v>0</v>
      </c>
      <c r="P13" s="2215">
        <f>'12-18л. РАСКЛАДКА'!U627</f>
        <v>0</v>
      </c>
      <c r="Q13" s="2251">
        <f t="shared" si="2"/>
        <v>24</v>
      </c>
      <c r="R13" s="2564">
        <f t="shared" si="0"/>
        <v>0</v>
      </c>
      <c r="S13" s="2243">
        <f t="shared" si="1"/>
        <v>24</v>
      </c>
      <c r="T13" s="2244">
        <v>20</v>
      </c>
      <c r="U13" s="3"/>
      <c r="Y13" s="927"/>
      <c r="Z13" s="13"/>
      <c r="AA13" s="1"/>
      <c r="AB13" s="928"/>
      <c r="AD13" s="2211"/>
    </row>
    <row r="14" spans="2:34">
      <c r="B14" s="596">
        <v>6</v>
      </c>
      <c r="C14" s="238" t="s">
        <v>52</v>
      </c>
      <c r="D14" s="160">
        <v>18.7</v>
      </c>
      <c r="E14" s="157">
        <f>'12-18л. РАСКЛАДКА'!U16</f>
        <v>0</v>
      </c>
      <c r="F14" s="75">
        <f>'12-18л. РАСКЛАДКА'!U75</f>
        <v>0</v>
      </c>
      <c r="G14" s="75">
        <f>'12-18л. РАСКЛАДКА'!U137</f>
        <v>0</v>
      </c>
      <c r="H14" s="75">
        <f>'12-18л. РАСКЛАДКА'!U194</f>
        <v>0</v>
      </c>
      <c r="I14" s="75">
        <f>'12-18л. РАСКЛАДКА'!U250</f>
        <v>0</v>
      </c>
      <c r="J14" s="75">
        <f>'12-18л. РАСКЛАДКА'!U305</f>
        <v>61.62</v>
      </c>
      <c r="K14" s="75">
        <f>'12-18л. РАСКЛАДКА'!U359</f>
        <v>0</v>
      </c>
      <c r="L14" s="75">
        <f>'12-18л. РАСКЛАДКА'!U410</f>
        <v>71</v>
      </c>
      <c r="M14" s="75">
        <f>'12-18л. РАСКЛАДКА'!U463</f>
        <v>83.7</v>
      </c>
      <c r="N14" s="75">
        <f>'12-18л. РАСКЛАДКА'!U518</f>
        <v>0</v>
      </c>
      <c r="O14" s="75">
        <f>'12-18л. РАСКЛАДКА'!U572</f>
        <v>8.08</v>
      </c>
      <c r="P14" s="2215">
        <f>'12-18л. РАСКЛАДКА'!U628</f>
        <v>0</v>
      </c>
      <c r="Q14" s="2251">
        <f t="shared" si="2"/>
        <v>224.4</v>
      </c>
      <c r="R14" s="2564">
        <f t="shared" si="0"/>
        <v>0</v>
      </c>
      <c r="S14" s="2243">
        <f t="shared" si="1"/>
        <v>224.39999999999998</v>
      </c>
      <c r="T14" s="2244">
        <v>187</v>
      </c>
      <c r="U14" s="3"/>
      <c r="Y14" s="927"/>
      <c r="Z14" s="13"/>
      <c r="AA14" s="1"/>
      <c r="AB14" s="928"/>
      <c r="AD14" s="2210"/>
    </row>
    <row r="15" spans="2:34">
      <c r="B15" s="596">
        <v>7</v>
      </c>
      <c r="C15" s="238" t="s">
        <v>292</v>
      </c>
      <c r="D15" s="160">
        <v>32</v>
      </c>
      <c r="E15" s="157">
        <f>'12-18л. РАСКЛАДКА'!U17</f>
        <v>0</v>
      </c>
      <c r="F15" s="75">
        <f>'12-18л. РАСКЛАДКА'!U76</f>
        <v>17.100000000000001</v>
      </c>
      <c r="G15" s="75">
        <f>'12-18л. РАСКЛАДКА'!U138</f>
        <v>0.58699999999999997</v>
      </c>
      <c r="H15" s="75">
        <f>'12-18л. РАСКЛАДКА'!U195</f>
        <v>48.72</v>
      </c>
      <c r="I15" s="75">
        <f>'12-18л. РАСКЛАДКА'!U251</f>
        <v>10</v>
      </c>
      <c r="J15" s="75">
        <f>'12-18л. РАСКЛАДКА'!U306</f>
        <v>8</v>
      </c>
      <c r="K15" s="75">
        <f>'12-18л. РАСКЛАДКА'!U360</f>
        <v>42.34</v>
      </c>
      <c r="L15" s="75">
        <f>'12-18л. РАСКЛАДКА'!U411</f>
        <v>0</v>
      </c>
      <c r="M15" s="75">
        <f>'12-18л. РАСКЛАДКА'!U464</f>
        <v>31.5</v>
      </c>
      <c r="N15" s="75">
        <f>'12-18л. РАСКЛАДКА'!U519</f>
        <v>46.47</v>
      </c>
      <c r="O15" s="75">
        <f>'12-18л. РАСКЛАДКА'!U573</f>
        <v>142.75299999999999</v>
      </c>
      <c r="P15" s="2215">
        <f>'12-18л. РАСКЛАДКА'!U629</f>
        <v>79</v>
      </c>
      <c r="Q15" s="2251">
        <f t="shared" si="2"/>
        <v>426.47</v>
      </c>
      <c r="R15" s="2564">
        <f t="shared" si="0"/>
        <v>11.059895833333329</v>
      </c>
      <c r="S15" s="2243">
        <f t="shared" si="1"/>
        <v>384</v>
      </c>
      <c r="T15" s="2244">
        <v>320</v>
      </c>
      <c r="U15" s="66"/>
      <c r="Y15" s="927"/>
      <c r="Z15" s="13"/>
      <c r="AA15" s="1"/>
      <c r="AB15" s="928"/>
      <c r="AD15" s="2211"/>
      <c r="AH15" s="176"/>
    </row>
    <row r="16" spans="2:34">
      <c r="B16" s="596">
        <v>8</v>
      </c>
      <c r="C16" s="238" t="s">
        <v>293</v>
      </c>
      <c r="D16" s="160">
        <v>18.5</v>
      </c>
      <c r="E16" s="157">
        <f>'12-18л. РАСКЛАДКА'!U18</f>
        <v>110</v>
      </c>
      <c r="F16" s="75">
        <f>'12-18л. РАСКЛАДКА'!U77</f>
        <v>0</v>
      </c>
      <c r="G16" s="75">
        <f>'12-18л. РАСКЛАДКА'!U139</f>
        <v>30.5</v>
      </c>
      <c r="H16" s="75">
        <f>'12-18л. РАСКЛАДКА'!U196</f>
        <v>0</v>
      </c>
      <c r="I16" s="75">
        <f>'12-18л. РАСКЛАДКА'!U252</f>
        <v>7</v>
      </c>
      <c r="J16" s="75">
        <f>'12-18л. РАСКЛАДКА'!U307</f>
        <v>37</v>
      </c>
      <c r="K16" s="75">
        <f>'12-18л. РАСКЛАДКА'!U361</f>
        <v>0</v>
      </c>
      <c r="L16" s="75">
        <f>'12-18л. РАСКЛАДКА'!U412</f>
        <v>0</v>
      </c>
      <c r="M16" s="75">
        <f>'12-18л. РАСКЛАДКА'!U465</f>
        <v>7</v>
      </c>
      <c r="N16" s="75">
        <f>'12-18л. РАСКЛАДКА'!U520</f>
        <v>0</v>
      </c>
      <c r="O16" s="75">
        <f>'12-18л. РАСКЛАДКА'!U574</f>
        <v>30.5</v>
      </c>
      <c r="P16" s="2215">
        <f>'12-18л. РАСКЛАДКА'!U630</f>
        <v>0</v>
      </c>
      <c r="Q16" s="2251">
        <f t="shared" si="2"/>
        <v>222</v>
      </c>
      <c r="R16" s="2564">
        <f t="shared" si="0"/>
        <v>0</v>
      </c>
      <c r="S16" s="2243">
        <f t="shared" si="1"/>
        <v>222</v>
      </c>
      <c r="T16" s="2244">
        <v>185</v>
      </c>
      <c r="U16" s="3"/>
      <c r="Y16" s="927"/>
      <c r="Z16" s="13"/>
      <c r="AA16" s="1"/>
      <c r="AB16" s="928"/>
      <c r="AD16" s="2209"/>
    </row>
    <row r="17" spans="2:35">
      <c r="B17" s="596">
        <v>9</v>
      </c>
      <c r="C17" s="238" t="s">
        <v>122</v>
      </c>
      <c r="D17" s="160">
        <v>2</v>
      </c>
      <c r="E17" s="157">
        <f>'12-18л. РАСКЛАДКА'!U19</f>
        <v>0</v>
      </c>
      <c r="F17" s="75">
        <f>'12-18л. РАСКЛАДКА'!U78</f>
        <v>0</v>
      </c>
      <c r="G17" s="75">
        <f>'12-18л. РАСКЛАДКА'!U140</f>
        <v>0</v>
      </c>
      <c r="H17" s="75">
        <f>'12-18л. РАСКЛАДКА'!U197</f>
        <v>0</v>
      </c>
      <c r="I17" s="75">
        <f>'12-18л. РАСКЛАДКА'!U253</f>
        <v>0</v>
      </c>
      <c r="J17" s="75">
        <f>'12-18л. РАСКЛАДКА'!U308</f>
        <v>0</v>
      </c>
      <c r="K17" s="75">
        <f>'12-18л. РАСКЛАДКА'!U362</f>
        <v>0</v>
      </c>
      <c r="L17" s="75">
        <f>'12-18л. РАСКЛАДКА'!U413</f>
        <v>24</v>
      </c>
      <c r="M17" s="75">
        <f>'12-18л. РАСКЛАДКА'!U466</f>
        <v>0</v>
      </c>
      <c r="N17" s="75">
        <f>'12-18л. РАСКЛАДКА'!U521</f>
        <v>0</v>
      </c>
      <c r="O17" s="75">
        <f>'12-18л. РАСКЛАДКА'!U575</f>
        <v>0</v>
      </c>
      <c r="P17" s="2215">
        <f>'12-18л. РАСКЛАДКА'!U631</f>
        <v>0</v>
      </c>
      <c r="Q17" s="2251">
        <f t="shared" si="2"/>
        <v>24</v>
      </c>
      <c r="R17" s="2564">
        <f t="shared" si="0"/>
        <v>0</v>
      </c>
      <c r="S17" s="2243">
        <f t="shared" si="1"/>
        <v>24</v>
      </c>
      <c r="T17" s="2244">
        <v>20</v>
      </c>
      <c r="U17" s="3"/>
      <c r="Y17" s="927"/>
      <c r="Z17" s="13"/>
      <c r="AA17" s="1"/>
      <c r="AB17" s="928"/>
      <c r="AD17" s="2209"/>
    </row>
    <row r="18" spans="2:35">
      <c r="B18" s="596">
        <v>10</v>
      </c>
      <c r="C18" s="238" t="s">
        <v>294</v>
      </c>
      <c r="D18" s="160">
        <v>20</v>
      </c>
      <c r="E18" s="157">
        <f>'12-18л. РАСКЛАДКА'!U20</f>
        <v>0</v>
      </c>
      <c r="F18" s="75">
        <f>'12-18л. РАСКЛАДКА'!U79</f>
        <v>0</v>
      </c>
      <c r="G18" s="75">
        <f>'12-18л. РАСКЛАДКА'!U141</f>
        <v>0</v>
      </c>
      <c r="H18" s="75">
        <f>'12-18л. РАСКЛАДКА'!U198</f>
        <v>0</v>
      </c>
      <c r="I18" s="75">
        <f>'12-18л. РАСКЛАДКА'!U254</f>
        <v>0</v>
      </c>
      <c r="J18" s="75">
        <f>'12-18л. РАСКЛАДКА'!U309</f>
        <v>0</v>
      </c>
      <c r="K18" s="75">
        <f>'12-18л. РАСКЛАДКА'!U363</f>
        <v>0</v>
      </c>
      <c r="L18" s="75">
        <f>'12-18л. РАСКЛАДКА'!U414</f>
        <v>0</v>
      </c>
      <c r="M18" s="75">
        <f>'12-18л. РАСКЛАДКА'!U467</f>
        <v>0</v>
      </c>
      <c r="N18" s="75">
        <f>'12-18л. РАСКЛАДКА'!U522</f>
        <v>200</v>
      </c>
      <c r="O18" s="75">
        <f>'12-18л. РАСКЛАДКА'!U576</f>
        <v>0</v>
      </c>
      <c r="P18" s="2215">
        <f>'12-18л. РАСКЛАДКА'!U632</f>
        <v>0</v>
      </c>
      <c r="Q18" s="2251">
        <f t="shared" si="2"/>
        <v>200</v>
      </c>
      <c r="R18" s="2564">
        <f t="shared" si="0"/>
        <v>-16.666666666666671</v>
      </c>
      <c r="S18" s="2243">
        <f t="shared" si="1"/>
        <v>240</v>
      </c>
      <c r="T18" s="2244">
        <v>200</v>
      </c>
      <c r="U18" s="3"/>
      <c r="Y18" s="927"/>
      <c r="Z18" s="13"/>
      <c r="AA18" s="1"/>
      <c r="AB18" s="928"/>
      <c r="AD18" s="2213"/>
    </row>
    <row r="19" spans="2:35">
      <c r="B19" s="596">
        <v>11</v>
      </c>
      <c r="C19" s="238" t="s">
        <v>139</v>
      </c>
      <c r="D19" s="160">
        <v>7.8</v>
      </c>
      <c r="E19" s="157">
        <f>'12-18л. РАСКЛАДКА'!U21</f>
        <v>0</v>
      </c>
      <c r="F19" s="75">
        <f>'12-18л. РАСКЛАДКА'!U80</f>
        <v>0</v>
      </c>
      <c r="G19" s="75">
        <f>'12-18л. РАСКЛАДКА'!U142</f>
        <v>0</v>
      </c>
      <c r="H19" s="75">
        <f>'12-18л. РАСКЛАДКА'!U199</f>
        <v>0</v>
      </c>
      <c r="I19" s="75">
        <f>'12-18л. РАСКЛАДКА'!U255</f>
        <v>47.01</v>
      </c>
      <c r="J19" s="75">
        <f>'12-18л. РАСКЛАДКА'!U310</f>
        <v>15.6</v>
      </c>
      <c r="K19" s="75">
        <f>'12-18л. РАСКЛАДКА'!U364</f>
        <v>0</v>
      </c>
      <c r="L19" s="75">
        <f>'12-18л. РАСКЛАДКА'!U415</f>
        <v>0</v>
      </c>
      <c r="M19" s="75">
        <f>'12-18л. РАСКЛАДКА'!U468</f>
        <v>0</v>
      </c>
      <c r="N19" s="75">
        <f>'12-18л. РАСКЛАДКА'!U523</f>
        <v>30.99</v>
      </c>
      <c r="O19" s="75">
        <f>'12-18л. РАСКЛАДКА'!U577</f>
        <v>0</v>
      </c>
      <c r="P19" s="2215">
        <f>'12-18л. РАСКЛАДКА'!U633</f>
        <v>0</v>
      </c>
      <c r="Q19" s="2251">
        <f t="shared" si="2"/>
        <v>93.6</v>
      </c>
      <c r="R19" s="2564">
        <f t="shared" si="0"/>
        <v>0</v>
      </c>
      <c r="S19" s="2243">
        <f t="shared" si="1"/>
        <v>93.6</v>
      </c>
      <c r="T19" s="2244">
        <v>78</v>
      </c>
      <c r="U19" s="3"/>
      <c r="Y19" s="927"/>
      <c r="Z19" s="13"/>
      <c r="AA19" s="1"/>
      <c r="AB19" s="928"/>
      <c r="AD19" s="2213"/>
    </row>
    <row r="20" spans="2:35">
      <c r="B20" s="596">
        <v>12</v>
      </c>
      <c r="C20" s="238" t="s">
        <v>140</v>
      </c>
      <c r="D20" s="160">
        <v>5.3</v>
      </c>
      <c r="E20" s="157">
        <f>'12-18л. РАСКЛАДКА'!U22</f>
        <v>0</v>
      </c>
      <c r="F20" s="75">
        <f>'12-18л. РАСКЛАДКА'!U81</f>
        <v>0</v>
      </c>
      <c r="G20" s="75">
        <f>'12-18л. РАСКЛАДКА'!U143</f>
        <v>0</v>
      </c>
      <c r="H20" s="75">
        <f>'12-18л. РАСКЛАДКА'!U200</f>
        <v>0</v>
      </c>
      <c r="I20" s="75">
        <f>'12-18л. РАСКЛАДКА'!U256</f>
        <v>29.32</v>
      </c>
      <c r="J20" s="75">
        <f>'12-18л. РАСКЛАДКА'!U311</f>
        <v>10.6</v>
      </c>
      <c r="K20" s="75">
        <f>'12-18л. РАСКЛАДКА'!U365</f>
        <v>0</v>
      </c>
      <c r="L20" s="75">
        <f>'12-18л. РАСКЛАДКА'!U416</f>
        <v>0</v>
      </c>
      <c r="M20" s="75">
        <f>'12-18л. РАСКЛАДКА'!U469</f>
        <v>0</v>
      </c>
      <c r="N20" s="75">
        <f>'12-18л. РАСКЛАДКА'!U524</f>
        <v>23.68</v>
      </c>
      <c r="O20" s="75">
        <f>'12-18л. РАСКЛАДКА'!U578</f>
        <v>0</v>
      </c>
      <c r="P20" s="2215">
        <f>'12-18л. РАСКЛАДКА'!U634</f>
        <v>0</v>
      </c>
      <c r="Q20" s="2251">
        <f t="shared" si="2"/>
        <v>63.6</v>
      </c>
      <c r="R20" s="2564">
        <f t="shared" si="0"/>
        <v>0</v>
      </c>
      <c r="S20" s="2243">
        <f t="shared" si="1"/>
        <v>63.599999999999994</v>
      </c>
      <c r="T20" s="2244">
        <v>53</v>
      </c>
      <c r="U20" s="3"/>
      <c r="Y20" s="927"/>
      <c r="Z20" s="13"/>
      <c r="AA20" s="1"/>
      <c r="AB20" s="928"/>
      <c r="AD20" s="2213"/>
    </row>
    <row r="21" spans="2:35" ht="12.75" customHeight="1">
      <c r="B21" s="596">
        <v>13</v>
      </c>
      <c r="C21" s="238" t="s">
        <v>53</v>
      </c>
      <c r="D21" s="160">
        <v>7.7</v>
      </c>
      <c r="E21" s="157">
        <f>'12-18л. РАСКЛАДКА'!U23</f>
        <v>0</v>
      </c>
      <c r="F21" s="75">
        <f>'12-18л. РАСКЛАДКА'!U82</f>
        <v>0</v>
      </c>
      <c r="G21" s="75">
        <f>'12-18л. РАСКЛАДКА'!U144</f>
        <v>92.4</v>
      </c>
      <c r="H21" s="75">
        <f>'12-18л. РАСКЛАДКА'!U201</f>
        <v>0</v>
      </c>
      <c r="I21" s="75">
        <f>'12-18л. РАСКЛАДКА'!U257</f>
        <v>0</v>
      </c>
      <c r="J21" s="75">
        <f>'12-18л. РАСКЛАДКА'!U312</f>
        <v>0</v>
      </c>
      <c r="K21" s="75">
        <f>'12-18л. РАСКЛАДКА'!U366</f>
        <v>0</v>
      </c>
      <c r="L21" s="75">
        <f>'12-18л. РАСКЛАДКА'!U417</f>
        <v>0</v>
      </c>
      <c r="M21" s="75">
        <f>'12-18л. РАСКЛАДКА'!U470</f>
        <v>0</v>
      </c>
      <c r="N21" s="75">
        <f>'12-18л. РАСКЛАДКА'!U525</f>
        <v>0</v>
      </c>
      <c r="O21" s="75">
        <f>'12-18л. РАСКЛАДКА'!U579</f>
        <v>0</v>
      </c>
      <c r="P21" s="2215">
        <f>'12-18л. РАСКЛАДКА'!U635</f>
        <v>0</v>
      </c>
      <c r="Q21" s="2251">
        <f t="shared" si="2"/>
        <v>92.4</v>
      </c>
      <c r="R21" s="2564">
        <f t="shared" si="0"/>
        <v>0</v>
      </c>
      <c r="S21" s="2243">
        <f t="shared" si="1"/>
        <v>92.4</v>
      </c>
      <c r="T21" s="2244">
        <v>77</v>
      </c>
      <c r="U21" s="3"/>
      <c r="Y21" s="927"/>
      <c r="Z21" s="13"/>
      <c r="AA21" s="1"/>
      <c r="AB21" s="928"/>
      <c r="AD21" s="2213"/>
    </row>
    <row r="22" spans="2:35" ht="13.5" customHeight="1">
      <c r="B22" s="596">
        <v>14</v>
      </c>
      <c r="C22" s="238" t="s">
        <v>141</v>
      </c>
      <c r="D22" s="160">
        <v>4</v>
      </c>
      <c r="E22" s="157">
        <f>'12-18л. РАСКЛАДКА'!U24</f>
        <v>0</v>
      </c>
      <c r="F22" s="75">
        <f>'12-18л. РАСКЛАДКА'!U83</f>
        <v>0</v>
      </c>
      <c r="G22" s="75">
        <f>'12-18л. РАСКЛАДКА'!U145</f>
        <v>0</v>
      </c>
      <c r="H22" s="75">
        <f>'12-18л. РАСКЛАДКА'!U202</f>
        <v>0</v>
      </c>
      <c r="I22" s="75">
        <f>'12-18л. РАСКЛАДКА'!U258</f>
        <v>0</v>
      </c>
      <c r="J22" s="75">
        <f>'12-18л. РАСКЛАДКА'!U313</f>
        <v>0</v>
      </c>
      <c r="K22" s="75">
        <f>'12-18л. РАСКЛАДКА'!U367</f>
        <v>0</v>
      </c>
      <c r="L22" s="75">
        <f>'12-18л. РАСКЛАДКА'!U418</f>
        <v>48</v>
      </c>
      <c r="M22" s="75">
        <f>'12-18л. РАСКЛАДКА'!U471</f>
        <v>0</v>
      </c>
      <c r="N22" s="75">
        <f>'12-18л. РАСКЛАДКА'!U526</f>
        <v>0</v>
      </c>
      <c r="O22" s="75">
        <f>'12-18л. РАСКЛАДКА'!U580</f>
        <v>0</v>
      </c>
      <c r="P22" s="2215">
        <f>'12-18л. РАСКЛАДКА'!U636</f>
        <v>0</v>
      </c>
      <c r="Q22" s="2251">
        <f t="shared" si="2"/>
        <v>48</v>
      </c>
      <c r="R22" s="2564">
        <f t="shared" si="0"/>
        <v>0</v>
      </c>
      <c r="S22" s="2243">
        <f t="shared" si="1"/>
        <v>48</v>
      </c>
      <c r="T22" s="2244">
        <v>40</v>
      </c>
      <c r="U22" s="3"/>
      <c r="Y22" s="927"/>
      <c r="Z22" s="13"/>
      <c r="AA22" s="1"/>
      <c r="AB22" s="928"/>
      <c r="AD22" s="2213"/>
    </row>
    <row r="23" spans="2:35" ht="12" customHeight="1">
      <c r="B23" s="596">
        <v>15</v>
      </c>
      <c r="C23" s="238" t="s">
        <v>295</v>
      </c>
      <c r="D23" s="160">
        <v>35</v>
      </c>
      <c r="E23" s="157">
        <f>'12-18л. РАСКЛАДКА'!U25</f>
        <v>0</v>
      </c>
      <c r="F23" s="75">
        <f>'12-18л. РАСКЛАДКА'!U84</f>
        <v>15</v>
      </c>
      <c r="G23" s="75">
        <f>'12-18л. РАСКЛАДКА'!U146</f>
        <v>3.65</v>
      </c>
      <c r="H23" s="75">
        <f>'12-18л. РАСКЛАДКА'!U203</f>
        <v>72.72</v>
      </c>
      <c r="I23" s="75">
        <f>'12-18л. РАСКЛАДКА'!U259</f>
        <v>7.85</v>
      </c>
      <c r="J23" s="75">
        <f>'12-18л. РАСКЛАДКА'!U314</f>
        <v>24</v>
      </c>
      <c r="K23" s="75">
        <f>'12-18л. РАСКЛАДКА'!U368</f>
        <v>254.23000000000002</v>
      </c>
      <c r="L23" s="75">
        <f>'12-18л. РАСКЛАДКА'!U419</f>
        <v>3</v>
      </c>
      <c r="M23" s="75">
        <f>'12-18л. РАСКЛАДКА'!U472</f>
        <v>14.2</v>
      </c>
      <c r="N23" s="75">
        <f>'12-18л. РАСКЛАДКА'!U527</f>
        <v>26.95</v>
      </c>
      <c r="O23" s="75">
        <f>'12-18л. РАСКЛАДКА'!U581</f>
        <v>44</v>
      </c>
      <c r="P23" s="2215">
        <f>'12-18л. РАСКЛАДКА'!U637</f>
        <v>257.45999999999998</v>
      </c>
      <c r="Q23" s="2251">
        <f t="shared" si="2"/>
        <v>723.06</v>
      </c>
      <c r="R23" s="2564">
        <f t="shared" si="0"/>
        <v>72.157142857142844</v>
      </c>
      <c r="S23" s="2243">
        <f t="shared" si="1"/>
        <v>420</v>
      </c>
      <c r="T23" s="2244">
        <v>350</v>
      </c>
      <c r="U23" s="66"/>
      <c r="Y23" s="927"/>
      <c r="Z23" s="13"/>
      <c r="AA23" s="1"/>
      <c r="AB23" s="928"/>
      <c r="AD23" s="2220"/>
    </row>
    <row r="24" spans="2:35" ht="14.25" customHeight="1">
      <c r="B24" s="596">
        <v>16</v>
      </c>
      <c r="C24" s="238" t="s">
        <v>296</v>
      </c>
      <c r="D24" s="160">
        <v>18</v>
      </c>
      <c r="E24" s="181">
        <f>'12-18л. РАСКЛАДКА'!U26</f>
        <v>0</v>
      </c>
      <c r="F24" s="78">
        <f>'12-18л. РАСКЛАДКА'!U85</f>
        <v>200</v>
      </c>
      <c r="G24" s="79">
        <f>'12-18л. РАСКЛАДКА'!U147</f>
        <v>0</v>
      </c>
      <c r="H24" s="75">
        <f>'12-18л. РАСКЛАДКА'!U204</f>
        <v>0</v>
      </c>
      <c r="I24" s="76">
        <f>'12-18л. РАСКЛАДКА'!U260</f>
        <v>0</v>
      </c>
      <c r="J24" s="75">
        <f>'12-18л. РАСКЛАДКА'!U315</f>
        <v>0</v>
      </c>
      <c r="K24" s="75">
        <f>'12-18л. РАСКЛАДКА'!U369</f>
        <v>0</v>
      </c>
      <c r="L24" s="76">
        <f>'12-18л. РАСКЛАДКА'!U420</f>
        <v>0</v>
      </c>
      <c r="M24" s="78">
        <f>'12-18л. РАСКЛАДКА'!U473</f>
        <v>0</v>
      </c>
      <c r="N24" s="78">
        <f>'12-18л. РАСКЛАДКА'!U528</f>
        <v>0</v>
      </c>
      <c r="O24" s="76">
        <f>'12-18л. РАСКЛАДКА'!U582</f>
        <v>0</v>
      </c>
      <c r="P24" s="2215">
        <f>'12-18л. РАСКЛАДКА'!U638</f>
        <v>0</v>
      </c>
      <c r="Q24" s="2251">
        <f t="shared" si="2"/>
        <v>200</v>
      </c>
      <c r="R24" s="2564">
        <f t="shared" si="0"/>
        <v>-7.4074074074074048</v>
      </c>
      <c r="S24" s="2243">
        <f t="shared" si="1"/>
        <v>216</v>
      </c>
      <c r="T24" s="2244">
        <v>180</v>
      </c>
      <c r="U24" s="3"/>
      <c r="Y24" s="927"/>
      <c r="Z24" s="13"/>
      <c r="AA24" s="1"/>
      <c r="AB24" s="928"/>
      <c r="AD24" s="2213"/>
      <c r="AH24" s="740"/>
      <c r="AI24" s="517"/>
    </row>
    <row r="25" spans="2:35">
      <c r="B25" s="596">
        <v>17</v>
      </c>
      <c r="C25" s="238" t="s">
        <v>297</v>
      </c>
      <c r="D25" s="160">
        <v>6</v>
      </c>
      <c r="E25" s="181">
        <f>'12-18л. РАСКЛАДКА'!U27</f>
        <v>0</v>
      </c>
      <c r="F25" s="78">
        <f>'12-18л. РАСКЛАДКА'!U86</f>
        <v>0</v>
      </c>
      <c r="G25" s="79">
        <f>'12-18л. РАСКЛАДКА'!U148</f>
        <v>0</v>
      </c>
      <c r="H25" s="75">
        <f>'12-18л. РАСКЛАДКА'!U205</f>
        <v>60</v>
      </c>
      <c r="I25" s="76">
        <f>'12-18л. РАСКЛАДКА'!U261</f>
        <v>0</v>
      </c>
      <c r="J25" s="75">
        <f>'12-18л. РАСКЛАДКА'!U316</f>
        <v>0</v>
      </c>
      <c r="K25" s="75">
        <f>'12-18л. РАСКЛАДКА'!U370</f>
        <v>0</v>
      </c>
      <c r="L25" s="76">
        <f>'12-18л. РАСКЛАДКА'!U421</f>
        <v>0</v>
      </c>
      <c r="M25" s="78">
        <f>'12-18л. РАСКЛАДКА'!U474</f>
        <v>0</v>
      </c>
      <c r="N25" s="78">
        <f>'12-18л. РАСКЛАДКА'!U529</f>
        <v>0</v>
      </c>
      <c r="O25" s="76">
        <f>'12-18л. РАСКЛАДКА'!U583</f>
        <v>0</v>
      </c>
      <c r="P25" s="2215">
        <f>'12-18л. РАСКЛАДКА'!U639</f>
        <v>12</v>
      </c>
      <c r="Q25" s="2251">
        <f t="shared" si="2"/>
        <v>72</v>
      </c>
      <c r="R25" s="2564">
        <f t="shared" si="0"/>
        <v>0</v>
      </c>
      <c r="S25" s="2243">
        <f t="shared" si="1"/>
        <v>72</v>
      </c>
      <c r="T25" s="2244">
        <v>60</v>
      </c>
      <c r="U25" s="3"/>
      <c r="Y25" s="927"/>
      <c r="Z25" s="13"/>
      <c r="AA25" s="1"/>
      <c r="AB25" s="928"/>
      <c r="AD25" s="2213"/>
    </row>
    <row r="26" spans="2:35">
      <c r="B26" s="596">
        <v>18</v>
      </c>
      <c r="C26" s="238" t="s">
        <v>54</v>
      </c>
      <c r="D26" s="160">
        <v>1.5</v>
      </c>
      <c r="E26" s="181">
        <f>'12-18л. РАСКЛАДКА'!U28</f>
        <v>15</v>
      </c>
      <c r="F26" s="78">
        <f>'12-18л. РАСКЛАДКА'!U87</f>
        <v>0</v>
      </c>
      <c r="G26" s="79">
        <f>'12-18л. РАСКЛАДКА'!U149</f>
        <v>0</v>
      </c>
      <c r="H26" s="75">
        <f>'12-18л. РАСКЛАДКА'!U206</f>
        <v>0</v>
      </c>
      <c r="I26" s="76">
        <f>'12-18л. РАСКЛАДКА'!U262</f>
        <v>0</v>
      </c>
      <c r="J26" s="75">
        <f>'12-18л. РАСКЛАДКА'!U317</f>
        <v>3</v>
      </c>
      <c r="K26" s="75">
        <f>'12-18л. РАСКЛАДКА'!U371</f>
        <v>0</v>
      </c>
      <c r="L26" s="76">
        <f>'12-18л. РАСКЛАДКА'!U422</f>
        <v>0</v>
      </c>
      <c r="M26" s="78">
        <f>'12-18л. РАСКЛАДКА'!U475</f>
        <v>0</v>
      </c>
      <c r="N26" s="78">
        <f>'12-18л. РАСКЛАДКА'!U530</f>
        <v>0</v>
      </c>
      <c r="O26" s="76">
        <f>'12-18л. РАСКЛАДКА'!U584</f>
        <v>0</v>
      </c>
      <c r="P26" s="2215">
        <f>'12-18л. РАСКЛАДКА'!U640</f>
        <v>0</v>
      </c>
      <c r="Q26" s="2251">
        <f t="shared" si="2"/>
        <v>18</v>
      </c>
      <c r="R26" s="2564">
        <f t="shared" si="0"/>
        <v>0</v>
      </c>
      <c r="S26" s="2243">
        <f t="shared" si="1"/>
        <v>18</v>
      </c>
      <c r="T26" s="2244">
        <v>15</v>
      </c>
      <c r="U26" s="3"/>
      <c r="Y26" s="927"/>
      <c r="Z26" s="13"/>
      <c r="AA26" s="1"/>
      <c r="AB26" s="928"/>
      <c r="AD26" s="2213"/>
    </row>
    <row r="27" spans="2:35">
      <c r="B27" s="596">
        <v>19</v>
      </c>
      <c r="C27" s="238" t="s">
        <v>298</v>
      </c>
      <c r="D27" s="160">
        <v>1</v>
      </c>
      <c r="E27" s="181">
        <f>'12-18л. РАСКЛАДКА'!U29</f>
        <v>0</v>
      </c>
      <c r="F27" s="78">
        <f>'12-18л. РАСКЛАДКА'!U88</f>
        <v>0</v>
      </c>
      <c r="G27" s="79">
        <f>'12-18л. РАСКЛАДКА'!U150</f>
        <v>0</v>
      </c>
      <c r="H27" s="75">
        <f>'12-18л. РАСКЛАДКА'!U207</f>
        <v>6.2</v>
      </c>
      <c r="I27" s="76">
        <f>'12-18л. РАСКЛАДКА'!U263</f>
        <v>0</v>
      </c>
      <c r="J27" s="75">
        <f>'12-18л. РАСКЛАДКА'!U318</f>
        <v>2</v>
      </c>
      <c r="K27" s="75">
        <f>'12-18л. РАСКЛАДКА'!U372</f>
        <v>0</v>
      </c>
      <c r="L27" s="76">
        <f>'12-18л. РАСКЛАДКА'!U423</f>
        <v>2.4500000000000002</v>
      </c>
      <c r="M27" s="78">
        <f>'12-18л. РАСКЛАДКА'!U476</f>
        <v>0</v>
      </c>
      <c r="N27" s="78">
        <f>'12-18л. РАСКЛАДКА'!U531</f>
        <v>0.8</v>
      </c>
      <c r="O27" s="76">
        <f>'12-18л. РАСКЛАДКА'!U585</f>
        <v>0.55000000000000004</v>
      </c>
      <c r="P27" s="2215">
        <f>'12-18л. РАСКЛАДКА'!U641</f>
        <v>0</v>
      </c>
      <c r="Q27" s="2251">
        <f t="shared" si="2"/>
        <v>12</v>
      </c>
      <c r="R27" s="2564">
        <f t="shared" si="0"/>
        <v>0</v>
      </c>
      <c r="S27" s="2243">
        <f t="shared" si="1"/>
        <v>12</v>
      </c>
      <c r="T27" s="2244">
        <v>10</v>
      </c>
      <c r="U27" s="3"/>
      <c r="Y27" s="927"/>
      <c r="Z27" s="13"/>
      <c r="AA27" s="1"/>
      <c r="AB27" s="928"/>
      <c r="AD27" s="2221"/>
    </row>
    <row r="28" spans="2:35">
      <c r="B28" s="596">
        <v>20</v>
      </c>
      <c r="C28" s="238" t="s">
        <v>55</v>
      </c>
      <c r="D28" s="160">
        <v>3.5</v>
      </c>
      <c r="E28" s="181">
        <f>'12-18л. РАСКЛАДКА'!U30</f>
        <v>0</v>
      </c>
      <c r="F28" s="78">
        <f>'12-18л. РАСКЛАДКА'!U89</f>
        <v>3.1500000000000004</v>
      </c>
      <c r="G28" s="79">
        <f>'12-18л. РАСКЛАДКА'!U151</f>
        <v>0</v>
      </c>
      <c r="H28" s="75">
        <f>'12-18л. РАСКЛАДКА'!U208</f>
        <v>6.2</v>
      </c>
      <c r="I28" s="76">
        <f>'12-18л. РАСКЛАДКА'!U264</f>
        <v>0</v>
      </c>
      <c r="J28" s="75">
        <f>'12-18л. РАСКЛАДКА'!U319</f>
        <v>3.19</v>
      </c>
      <c r="K28" s="75">
        <f>'12-18л. РАСКЛАДКА'!U373</f>
        <v>4.8599999999999994</v>
      </c>
      <c r="L28" s="76">
        <f>'12-18л. РАСКЛАДКА'!U424</f>
        <v>6.7</v>
      </c>
      <c r="M28" s="78">
        <f>'12-18л. РАСКЛАДКА'!U477</f>
        <v>3.1</v>
      </c>
      <c r="N28" s="78">
        <f>'12-18л. РАСКЛАДКА'!U532</f>
        <v>2.8000000000000003</v>
      </c>
      <c r="O28" s="76">
        <f>'12-18л. РАСКЛАДКА'!U586</f>
        <v>8</v>
      </c>
      <c r="P28" s="2215">
        <f>'12-18л. РАСКЛАДКА'!U642</f>
        <v>4</v>
      </c>
      <c r="Q28" s="2251">
        <f t="shared" si="2"/>
        <v>42</v>
      </c>
      <c r="R28" s="2564">
        <f t="shared" si="0"/>
        <v>0</v>
      </c>
      <c r="S28" s="2243">
        <f t="shared" si="1"/>
        <v>42</v>
      </c>
      <c r="T28" s="2244">
        <v>35</v>
      </c>
      <c r="U28" s="3"/>
      <c r="Y28" s="927"/>
      <c r="Z28" s="13"/>
      <c r="AA28" s="1"/>
      <c r="AB28" s="928"/>
      <c r="AD28" s="2213"/>
    </row>
    <row r="29" spans="2:35">
      <c r="B29" s="596">
        <v>21</v>
      </c>
      <c r="C29" s="238" t="s">
        <v>56</v>
      </c>
      <c r="D29" s="160">
        <v>1.8</v>
      </c>
      <c r="E29" s="181">
        <f>'12-18л. РАСКЛАДКА'!U31</f>
        <v>0</v>
      </c>
      <c r="F29" s="78">
        <f>'12-18л. РАСКЛАДКА'!U90</f>
        <v>4.2</v>
      </c>
      <c r="G29" s="79">
        <f>'12-18л. РАСКЛАДКА'!U152</f>
        <v>4</v>
      </c>
      <c r="H29" s="75">
        <f>'12-18л. РАСКЛАДКА'!U209</f>
        <v>0</v>
      </c>
      <c r="I29" s="76">
        <f>'12-18л. РАСКЛАДКА'!U265</f>
        <v>4.5</v>
      </c>
      <c r="J29" s="75">
        <f>'12-18л. РАСКЛАДКА'!U320</f>
        <v>0.6</v>
      </c>
      <c r="K29" s="75">
        <f>'12-18л. РАСКЛАДКА'!U374</f>
        <v>1.3</v>
      </c>
      <c r="L29" s="76">
        <f>'12-18л. РАСКЛАДКА'!U425</f>
        <v>0</v>
      </c>
      <c r="M29" s="78">
        <f>'12-18л. РАСКЛАДКА'!U478</f>
        <v>4</v>
      </c>
      <c r="N29" s="78">
        <f>'12-18л. РАСКЛАДКА'!U533</f>
        <v>0</v>
      </c>
      <c r="O29" s="76">
        <f>'12-18л. РАСКЛАДКА'!U587</f>
        <v>0</v>
      </c>
      <c r="P29" s="2215">
        <f>'12-18л. РАСКЛАДКА'!U643</f>
        <v>3</v>
      </c>
      <c r="Q29" s="2251">
        <f t="shared" si="2"/>
        <v>21.6</v>
      </c>
      <c r="R29" s="2564">
        <f t="shared" si="0"/>
        <v>0</v>
      </c>
      <c r="S29" s="2243">
        <f t="shared" si="1"/>
        <v>21.6</v>
      </c>
      <c r="T29" s="2244">
        <v>18</v>
      </c>
      <c r="U29" s="3"/>
      <c r="Y29" s="927"/>
      <c r="Z29" s="13"/>
      <c r="AA29" s="1"/>
      <c r="AB29" s="928"/>
      <c r="AD29" s="2213"/>
    </row>
    <row r="30" spans="2:35" ht="12" customHeight="1">
      <c r="B30" s="596">
        <v>22</v>
      </c>
      <c r="C30" s="238" t="s">
        <v>299</v>
      </c>
      <c r="D30" s="160">
        <v>4</v>
      </c>
      <c r="E30" s="181">
        <f>'12-18л. РАСКЛАДКА'!U32</f>
        <v>0</v>
      </c>
      <c r="F30" s="78">
        <f>'12-18л. РАСКЛАДКА'!U91</f>
        <v>1.6</v>
      </c>
      <c r="G30" s="79">
        <f>'12-18л. РАСКЛАДКА'!U153</f>
        <v>1.4</v>
      </c>
      <c r="H30" s="75">
        <f>'12-18л. РАСКЛАДКА'!U210</f>
        <v>6.24</v>
      </c>
      <c r="I30" s="76">
        <f>'12-18л. РАСКЛАДКА'!U266</f>
        <v>1.2</v>
      </c>
      <c r="J30" s="75">
        <f>'12-18л. РАСКЛАДКА'!U321</f>
        <v>4</v>
      </c>
      <c r="K30" s="75">
        <f>'12-18л. РАСКЛАДКА'!U375</f>
        <v>22.9</v>
      </c>
      <c r="L30" s="76">
        <f>'12-18л. РАСКЛАДКА'!U426</f>
        <v>0</v>
      </c>
      <c r="M30" s="78">
        <f>'12-18л. РАСКЛАДКА'!U479</f>
        <v>0</v>
      </c>
      <c r="N30" s="78">
        <f>'12-18л. РАСКЛАДКА'!U534</f>
        <v>3.72</v>
      </c>
      <c r="O30" s="76">
        <f>'12-18л. РАСКЛАДКА'!U588</f>
        <v>2.94</v>
      </c>
      <c r="P30" s="2215">
        <f>'12-18л. РАСКЛАДКА'!U644</f>
        <v>4</v>
      </c>
      <c r="Q30" s="2251">
        <f t="shared" si="2"/>
        <v>47.999999999999993</v>
      </c>
      <c r="R30" s="2564">
        <f t="shared" si="0"/>
        <v>0</v>
      </c>
      <c r="S30" s="2243">
        <f t="shared" si="1"/>
        <v>48</v>
      </c>
      <c r="T30" s="2244">
        <v>40</v>
      </c>
      <c r="U30" s="3"/>
      <c r="Y30" s="927"/>
      <c r="Z30" s="13"/>
      <c r="AA30" s="1"/>
      <c r="AB30" s="928"/>
      <c r="AD30" s="2213"/>
    </row>
    <row r="31" spans="2:35" ht="13.5" customHeight="1">
      <c r="B31" s="596">
        <v>23</v>
      </c>
      <c r="C31" s="238" t="s">
        <v>57</v>
      </c>
      <c r="D31" s="160">
        <v>3.5</v>
      </c>
      <c r="E31" s="181">
        <f>'12-18л. РАСКЛАДКА'!U33</f>
        <v>7</v>
      </c>
      <c r="F31" s="78">
        <f>'12-18л. РАСКЛАДКА'!U92</f>
        <v>2.4</v>
      </c>
      <c r="G31" s="79">
        <f>'12-18л. РАСКЛАДКА'!U154</f>
        <v>0.5</v>
      </c>
      <c r="H31" s="75">
        <f>'12-18л. РАСКЛАДКА'!U211</f>
        <v>4.8</v>
      </c>
      <c r="I31" s="76">
        <f>'12-18л. РАСКЛАДКА'!U267</f>
        <v>6</v>
      </c>
      <c r="J31" s="75">
        <f>'12-18л. РАСКЛАДКА'!U322</f>
        <v>5</v>
      </c>
      <c r="K31" s="75">
        <f>'12-18л. РАСКЛАДКА'!U376</f>
        <v>3</v>
      </c>
      <c r="L31" s="76">
        <f>'12-18л. РАСКЛАДКА'!U427</f>
        <v>5</v>
      </c>
      <c r="M31" s="78">
        <f>'12-18л. РАСКЛАДКА'!U480</f>
        <v>6</v>
      </c>
      <c r="N31" s="78">
        <f>'12-18л. РАСКЛАДКА'!U535</f>
        <v>0</v>
      </c>
      <c r="O31" s="76">
        <f>'12-18л. РАСКЛАДКА'!U589</f>
        <v>0.5</v>
      </c>
      <c r="P31" s="2215">
        <f>'12-18л. РАСКЛАДКА'!U645</f>
        <v>3.4</v>
      </c>
      <c r="Q31" s="2245">
        <f t="shared" si="2"/>
        <v>43.6</v>
      </c>
      <c r="R31" s="2564">
        <f t="shared" si="0"/>
        <v>3.8095238095238102</v>
      </c>
      <c r="S31" s="2243">
        <f t="shared" si="1"/>
        <v>42</v>
      </c>
      <c r="T31" s="2244">
        <v>35</v>
      </c>
      <c r="U31" s="3"/>
      <c r="Y31" s="927"/>
      <c r="Z31" s="13"/>
      <c r="AA31" s="1"/>
      <c r="AB31" s="928"/>
      <c r="AD31" s="2213"/>
    </row>
    <row r="32" spans="2:35" ht="12.75" customHeight="1">
      <c r="B32" s="596">
        <v>24</v>
      </c>
      <c r="C32" s="238" t="s">
        <v>58</v>
      </c>
      <c r="D32" s="160">
        <v>1.5</v>
      </c>
      <c r="E32" s="181">
        <f>'12-18л. РАСКЛАДКА'!U34</f>
        <v>0</v>
      </c>
      <c r="F32" s="78">
        <f>'12-18л. РАСКЛАДКА'!U93</f>
        <v>0</v>
      </c>
      <c r="G32" s="79">
        <f>'12-18л. РАСКЛАДКА'!U155</f>
        <v>21</v>
      </c>
      <c r="H32" s="75">
        <f>'12-18л. РАСКЛАДКА'!U212</f>
        <v>0</v>
      </c>
      <c r="I32" s="76">
        <f>'12-18л. РАСКЛАДКА'!U268</f>
        <v>0</v>
      </c>
      <c r="J32" s="75">
        <f>'12-18л. РАСКЛАДКА'!U323</f>
        <v>0</v>
      </c>
      <c r="K32" s="75">
        <f>'12-18л. РАСКЛАДКА'!U377</f>
        <v>0</v>
      </c>
      <c r="L32" s="76">
        <f>'12-18л. РАСКЛАДКА'!U428</f>
        <v>0</v>
      </c>
      <c r="M32" s="78">
        <f>'12-18л. РАСКЛАДКА'!U481</f>
        <v>0</v>
      </c>
      <c r="N32" s="78">
        <f>'12-18л. РАСКЛАДКА'!U536</f>
        <v>0</v>
      </c>
      <c r="O32" s="76">
        <f>'12-18л. РАСКЛАДКА'!U590</f>
        <v>0</v>
      </c>
      <c r="P32" s="2215">
        <f>'12-18л. РАСКЛАДКА'!U646</f>
        <v>0</v>
      </c>
      <c r="Q32" s="2251">
        <f t="shared" si="2"/>
        <v>21</v>
      </c>
      <c r="R32" s="2564">
        <f t="shared" si="0"/>
        <v>16.666666666666671</v>
      </c>
      <c r="S32" s="2243">
        <f t="shared" si="1"/>
        <v>18</v>
      </c>
      <c r="T32" s="2244">
        <v>15</v>
      </c>
      <c r="U32" s="3"/>
      <c r="Y32" s="927"/>
      <c r="Z32" s="13"/>
      <c r="AA32" s="1"/>
      <c r="AB32" s="928"/>
      <c r="AD32" s="2213"/>
    </row>
    <row r="33" spans="2:30" ht="12" customHeight="1">
      <c r="B33" s="596">
        <v>25</v>
      </c>
      <c r="C33" s="238" t="s">
        <v>59</v>
      </c>
      <c r="D33" s="160">
        <v>0.2</v>
      </c>
      <c r="E33" s="181">
        <f>'12-18л. РАСКЛАДКА'!U35</f>
        <v>1</v>
      </c>
      <c r="F33" s="164">
        <f>'12-18л. РАСКЛАДКА'!U94</f>
        <v>0</v>
      </c>
      <c r="G33" s="77">
        <f>'12-18л. РАСКЛАДКА'!U156</f>
        <v>1</v>
      </c>
      <c r="H33" s="75">
        <f>'12-18л. РАСКЛАДКА'!U213</f>
        <v>1</v>
      </c>
      <c r="I33" s="76">
        <f>'12-18л. РАСКЛАДКА'!U269</f>
        <v>1</v>
      </c>
      <c r="J33" s="75">
        <f>'12-18л. РАСКЛАДКА'!U324</f>
        <v>0</v>
      </c>
      <c r="K33" s="79">
        <f>'12-18л. РАСКЛАДКА'!U378</f>
        <v>0</v>
      </c>
      <c r="L33" s="164">
        <f>'12-18л. РАСКЛАДКА'!U429</f>
        <v>0</v>
      </c>
      <c r="M33" s="164">
        <f>'12-18л. РАСКЛАДКА'!U482</f>
        <v>1</v>
      </c>
      <c r="N33" s="164">
        <f>'12-18л. РАСКЛАДКА'!U537</f>
        <v>0</v>
      </c>
      <c r="O33" s="76">
        <f>'12-18л. РАСКЛАДКА'!U591</f>
        <v>1</v>
      </c>
      <c r="P33" s="2215">
        <f>'12-18л. РАСКЛАДКА'!U647</f>
        <v>0</v>
      </c>
      <c r="Q33" s="2248">
        <f t="shared" si="2"/>
        <v>6</v>
      </c>
      <c r="R33" s="2564">
        <f t="shared" si="0"/>
        <v>149.99999999999997</v>
      </c>
      <c r="S33" s="2243">
        <f t="shared" si="1"/>
        <v>2.4000000000000004</v>
      </c>
      <c r="T33" s="2244">
        <v>2</v>
      </c>
      <c r="U33" s="2386"/>
      <c r="Y33" s="927"/>
      <c r="Z33" s="13"/>
      <c r="AA33" s="1"/>
      <c r="AB33" s="928"/>
      <c r="AD33" s="2221"/>
    </row>
    <row r="34" spans="2:30" ht="15.75" customHeight="1">
      <c r="B34" s="596">
        <v>26</v>
      </c>
      <c r="C34" s="238" t="s">
        <v>300</v>
      </c>
      <c r="D34" s="160">
        <v>0.12</v>
      </c>
      <c r="E34" s="181">
        <f>'12-18л. РАСКЛАДКА'!U36</f>
        <v>0</v>
      </c>
      <c r="F34" s="78">
        <f>'12-18л. РАСКЛАДКА'!U95</f>
        <v>0</v>
      </c>
      <c r="G34" s="79">
        <f>'12-18л. РАСКЛАДКА'!U157</f>
        <v>0</v>
      </c>
      <c r="H34" s="75">
        <f>'12-18л. РАСКЛАДКА'!U214</f>
        <v>0</v>
      </c>
      <c r="I34" s="76">
        <f>'12-18л. РАСКЛАДКА'!U270</f>
        <v>0</v>
      </c>
      <c r="J34" s="75">
        <f>'12-18л. РАСКЛАДКА'!U325</f>
        <v>0</v>
      </c>
      <c r="K34" s="75">
        <f>'12-18л. РАСКЛАДКА'!U379</f>
        <v>0</v>
      </c>
      <c r="L34" s="76">
        <f>'12-18л. РАСКЛАДКА'!U430</f>
        <v>0</v>
      </c>
      <c r="M34" s="78">
        <f>'12-18л. РАСКЛАДКА'!U483</f>
        <v>0</v>
      </c>
      <c r="N34" s="78">
        <f>'12-18л. РАСКЛАДКА'!U538</f>
        <v>0</v>
      </c>
      <c r="O34" s="76">
        <f>'12-18л. РАСКЛАДКА'!U592</f>
        <v>0</v>
      </c>
      <c r="P34" s="2215">
        <f>'12-18л. РАСКЛАДКА'!U648</f>
        <v>1.44</v>
      </c>
      <c r="Q34" s="2251">
        <f t="shared" si="2"/>
        <v>1.44</v>
      </c>
      <c r="R34" s="2564">
        <f t="shared" si="0"/>
        <v>0</v>
      </c>
      <c r="S34" s="2243">
        <f t="shared" si="1"/>
        <v>1.44</v>
      </c>
      <c r="T34" s="2244">
        <v>1.2</v>
      </c>
      <c r="U34" s="3"/>
      <c r="Y34" s="927"/>
      <c r="Z34" s="13"/>
      <c r="AA34" s="1"/>
      <c r="AB34" s="928"/>
      <c r="AD34" s="2213"/>
    </row>
    <row r="35" spans="2:30" ht="12" customHeight="1">
      <c r="B35" s="596">
        <v>27</v>
      </c>
      <c r="C35" s="238" t="s">
        <v>142</v>
      </c>
      <c r="D35" s="160">
        <v>0.2</v>
      </c>
      <c r="E35" s="181">
        <f>'12-18л. РАСКЛАДКА'!U37</f>
        <v>0</v>
      </c>
      <c r="F35" s="78">
        <f>'12-18л. РАСКЛАДКА'!U96</f>
        <v>0</v>
      </c>
      <c r="G35" s="79">
        <f>'12-18л. РАСКЛАДКА'!U158</f>
        <v>0</v>
      </c>
      <c r="H35" s="75">
        <f>'12-18л. РАСКЛАДКА'!U215</f>
        <v>0</v>
      </c>
      <c r="I35" s="76">
        <f>'12-18л. РАСКЛАДКА'!U271</f>
        <v>0</v>
      </c>
      <c r="J35" s="75">
        <f>'12-18л. РАСКЛАДКА'!U326</f>
        <v>0</v>
      </c>
      <c r="K35" s="75">
        <f>'12-18л. РАСКЛАДКА'!U380</f>
        <v>2.4</v>
      </c>
      <c r="L35" s="76">
        <f>'12-18л. РАСКЛАДКА'!U431</f>
        <v>0</v>
      </c>
      <c r="M35" s="78">
        <f>'12-18л. РАСКЛАДКА'!U484</f>
        <v>0</v>
      </c>
      <c r="N35" s="78">
        <f>'12-18л. РАСКЛАДКА'!U539</f>
        <v>0</v>
      </c>
      <c r="O35" s="76">
        <f>'12-18л. РАСКЛАДКА'!U593</f>
        <v>0</v>
      </c>
      <c r="P35" s="2215">
        <f>'12-18л. РАСКЛАДКА'!U649</f>
        <v>0</v>
      </c>
      <c r="Q35" s="2251">
        <f t="shared" si="2"/>
        <v>2.4</v>
      </c>
      <c r="R35" s="2564">
        <f t="shared" si="0"/>
        <v>0</v>
      </c>
      <c r="S35" s="2243">
        <f t="shared" si="1"/>
        <v>2.4000000000000004</v>
      </c>
      <c r="T35" s="2244">
        <v>2</v>
      </c>
      <c r="U35" s="3"/>
      <c r="Y35" s="927"/>
      <c r="Z35" s="13"/>
      <c r="AA35" s="1"/>
      <c r="AB35" s="928"/>
      <c r="AD35" s="2213"/>
    </row>
    <row r="36" spans="2:30" ht="12" customHeight="1">
      <c r="B36" s="596">
        <v>28</v>
      </c>
      <c r="C36" s="238" t="s">
        <v>60</v>
      </c>
      <c r="D36" s="160">
        <v>0.03</v>
      </c>
      <c r="E36" s="181">
        <f>'12-18л. РАСКЛАДКА'!U38</f>
        <v>0</v>
      </c>
      <c r="F36" s="78">
        <f>'12-18л. РАСКЛАДКА'!U97</f>
        <v>0</v>
      </c>
      <c r="G36" s="79">
        <f>'12-18л. РАСКЛАДКА'!U159</f>
        <v>0</v>
      </c>
      <c r="H36" s="75">
        <f>'12-18л. РАСКЛАДКА'!U216</f>
        <v>0</v>
      </c>
      <c r="I36" s="76">
        <f>'12-18л. РАСКЛАДКА'!U272</f>
        <v>0</v>
      </c>
      <c r="J36" s="75">
        <f>'12-18л. РАСКЛАДКА'!U327</f>
        <v>0</v>
      </c>
      <c r="K36" s="75">
        <f>'12-18л. РАСКЛАДКА'!U381</f>
        <v>0</v>
      </c>
      <c r="L36" s="76">
        <f>'12-18л. РАСКЛАДКА'!U432</f>
        <v>0</v>
      </c>
      <c r="M36" s="78">
        <f>'12-18л. РАСКЛАДКА'!U485</f>
        <v>0</v>
      </c>
      <c r="N36" s="78">
        <f>'12-18л. РАСКЛАДКА'!U540</f>
        <v>0</v>
      </c>
      <c r="O36" s="76">
        <f>'12-18л. РАСКЛАДКА'!U594</f>
        <v>0</v>
      </c>
      <c r="P36" s="2215">
        <f>'12-18л. РАСКЛАДКА'!U650</f>
        <v>0</v>
      </c>
      <c r="Q36" s="2251">
        <f t="shared" si="2"/>
        <v>0</v>
      </c>
      <c r="R36" s="2612">
        <f t="shared" si="0"/>
        <v>-100</v>
      </c>
      <c r="S36" s="2243">
        <f t="shared" si="1"/>
        <v>0.36</v>
      </c>
      <c r="T36" s="2244">
        <v>0.3</v>
      </c>
      <c r="U36" s="3"/>
      <c r="Y36" s="927"/>
      <c r="Z36" s="13"/>
      <c r="AA36" s="1"/>
      <c r="AB36" s="928"/>
      <c r="AD36" s="2218"/>
    </row>
    <row r="37" spans="2:30" ht="12.75" customHeight="1">
      <c r="B37" s="596">
        <v>29</v>
      </c>
      <c r="C37" s="641" t="s">
        <v>301</v>
      </c>
      <c r="D37" s="160">
        <v>0.5</v>
      </c>
      <c r="E37" s="181">
        <f>'12-18л. РАСКЛАДКА'!U39</f>
        <v>0</v>
      </c>
      <c r="F37" s="78">
        <f>'12-18л. РАСКЛАДКА'!U98</f>
        <v>0.44999999999999996</v>
      </c>
      <c r="G37" s="79">
        <f>'12-18л. РАСКЛАДКА'!U160</f>
        <v>1</v>
      </c>
      <c r="H37" s="75">
        <f>'12-18л. РАСКЛАДКА'!U217</f>
        <v>0</v>
      </c>
      <c r="I37" s="76">
        <f>'12-18л. РАСКЛАДКА'!U273</f>
        <v>1</v>
      </c>
      <c r="J37" s="75">
        <f>'12-18л. РАСКЛАДКА'!U328</f>
        <v>0.5</v>
      </c>
      <c r="K37" s="75">
        <f>'12-18л. РАСКЛАДКА'!U382</f>
        <v>0.25</v>
      </c>
      <c r="L37" s="76">
        <f>'12-18л. РАСКЛАДКА'!U433</f>
        <v>0.31</v>
      </c>
      <c r="M37" s="78">
        <f>'12-18л. РАСКЛАДКА'!U486</f>
        <v>0.2</v>
      </c>
      <c r="N37" s="78">
        <f>'12-18л. РАСКЛАДКА'!U541</f>
        <v>1.3</v>
      </c>
      <c r="O37" s="76">
        <f>'12-18л. РАСКЛАДКА'!U595</f>
        <v>0.75</v>
      </c>
      <c r="P37" s="2215">
        <f>'12-18л. РАСКЛАДКА'!U651</f>
        <v>0.24</v>
      </c>
      <c r="Q37" s="2251">
        <f t="shared" si="2"/>
        <v>6.0000000000000009</v>
      </c>
      <c r="R37" s="2564">
        <f t="shared" si="0"/>
        <v>0</v>
      </c>
      <c r="S37" s="2243">
        <f t="shared" si="1"/>
        <v>6</v>
      </c>
      <c r="T37" s="2244">
        <v>5</v>
      </c>
      <c r="U37" s="3"/>
      <c r="Y37" s="927"/>
      <c r="Z37" s="13"/>
      <c r="AA37" s="1"/>
      <c r="AB37" s="928"/>
      <c r="AD37" s="2221"/>
    </row>
    <row r="38" spans="2:30" ht="13.5" customHeight="1">
      <c r="B38" s="596">
        <v>30</v>
      </c>
      <c r="C38" s="238" t="s">
        <v>143</v>
      </c>
      <c r="D38" s="160">
        <v>0.4</v>
      </c>
      <c r="E38" s="181">
        <f>'12-18л. РАСКЛАДКА'!U40</f>
        <v>0</v>
      </c>
      <c r="F38" s="78">
        <f>'12-18л. РАСКЛАДКА'!U99</f>
        <v>0</v>
      </c>
      <c r="G38" s="79">
        <f>'12-18л. РАСКЛАДКА'!U161</f>
        <v>0</v>
      </c>
      <c r="H38" s="75">
        <f>'12-18л. РАСКЛАДКА'!U218</f>
        <v>0</v>
      </c>
      <c r="I38" s="76">
        <f>'12-18л. РАСКЛАДКА'!U274</f>
        <v>0</v>
      </c>
      <c r="J38" s="75">
        <f>'12-18л. РАСКЛАДКА'!U329</f>
        <v>0</v>
      </c>
      <c r="K38" s="75">
        <f>'12-18л. РАСКЛАДКА'!U383</f>
        <v>0</v>
      </c>
      <c r="L38" s="76">
        <f>'12-18л. РАСКЛАДКА'!U434</f>
        <v>4.8</v>
      </c>
      <c r="M38" s="78">
        <f>'12-18л. РАСКЛАДКА'!U487</f>
        <v>0</v>
      </c>
      <c r="N38" s="78">
        <f>'12-18л. РАСКЛАДКА'!U542</f>
        <v>0</v>
      </c>
      <c r="O38" s="76">
        <f>'12-18л. РАСКЛАДКА'!U596</f>
        <v>0</v>
      </c>
      <c r="P38" s="2215">
        <f>'12-18л. РАСКЛАДКА'!U652</f>
        <v>0</v>
      </c>
      <c r="Q38" s="2245">
        <f t="shared" si="2"/>
        <v>4.8</v>
      </c>
      <c r="R38" s="2564">
        <f t="shared" si="0"/>
        <v>0</v>
      </c>
      <c r="S38" s="2243">
        <f t="shared" si="1"/>
        <v>4.8000000000000007</v>
      </c>
      <c r="T38" s="2244">
        <v>4</v>
      </c>
      <c r="U38" s="3"/>
      <c r="Y38" s="927"/>
      <c r="Z38" s="13"/>
      <c r="AA38" s="1"/>
      <c r="AB38" s="928"/>
      <c r="AD38" s="2213"/>
    </row>
    <row r="39" spans="2:30" ht="14.25" customHeight="1">
      <c r="B39" s="596">
        <v>31</v>
      </c>
      <c r="C39" s="238" t="s">
        <v>144</v>
      </c>
      <c r="D39" s="160">
        <v>0.2</v>
      </c>
      <c r="E39" s="181">
        <f>'12-18л. РАСКЛАДКА'!U41</f>
        <v>0</v>
      </c>
      <c r="F39" s="78">
        <f>'12-18л. РАСКЛАДКА'!U100</f>
        <v>1.5E-3</v>
      </c>
      <c r="G39" s="79">
        <f>'12-18л. РАСКЛАДКА'!U162</f>
        <v>0</v>
      </c>
      <c r="H39" s="75">
        <f>'12-18л. РАСКЛАДКА'!U219</f>
        <v>0</v>
      </c>
      <c r="I39" s="76">
        <f>'12-18л. РАСКЛАДКА'!U275</f>
        <v>0</v>
      </c>
      <c r="J39" s="75">
        <f>'12-18л. РАСКЛАДКА'!U330</f>
        <v>0.39956000000000003</v>
      </c>
      <c r="K39" s="75">
        <f>'12-18л. РАСКЛАДКА'!U384</f>
        <v>5.0000000000000001E-3</v>
      </c>
      <c r="L39" s="76">
        <f>'12-18л. РАСКЛАДКА'!U435</f>
        <v>0.20020000000000002</v>
      </c>
      <c r="M39" s="78">
        <f>'12-18л. РАСКЛАДКА'!U488</f>
        <v>4.0000000000000001E-3</v>
      </c>
      <c r="N39" s="78">
        <f>'12-18л. РАСКЛАДКА'!U543</f>
        <v>0.78124000000000005</v>
      </c>
      <c r="O39" s="76">
        <f>'12-18л. РАСКЛАДКА'!U597</f>
        <v>1.008</v>
      </c>
      <c r="P39" s="2215">
        <f>'12-18л. РАСКЛАДКА'!U653</f>
        <v>5.0000000000000001E-4</v>
      </c>
      <c r="Q39" s="2248">
        <f t="shared" si="2"/>
        <v>2.4000000000000004</v>
      </c>
      <c r="R39" s="2564">
        <f t="shared" si="0"/>
        <v>0</v>
      </c>
      <c r="S39" s="2243">
        <f t="shared" si="1"/>
        <v>2.4000000000000004</v>
      </c>
      <c r="T39" s="2244">
        <v>2</v>
      </c>
      <c r="U39" s="3"/>
      <c r="Y39" s="927"/>
      <c r="Z39" s="13"/>
      <c r="AA39" s="1"/>
      <c r="AB39" s="928"/>
      <c r="AD39" s="2222"/>
    </row>
    <row r="40" spans="2:30" ht="12.75" customHeight="1">
      <c r="B40" s="596">
        <v>32</v>
      </c>
      <c r="C40" s="238" t="s">
        <v>62</v>
      </c>
      <c r="D40" s="160">
        <v>9</v>
      </c>
      <c r="E40" s="182">
        <f>'12-18л. МЕНЮ  '!E92</f>
        <v>7.5240000000000009</v>
      </c>
      <c r="F40" s="108">
        <f>'12-18л. МЕНЮ  '!E146</f>
        <v>9.1269999999999989</v>
      </c>
      <c r="G40" s="108">
        <f>'12-18л. МЕНЮ  '!E204</f>
        <v>10.248000000000001</v>
      </c>
      <c r="H40" s="108">
        <f>'12-18л. МЕНЮ  '!E256</f>
        <v>9.1589999999999989</v>
      </c>
      <c r="I40" s="108">
        <f>'12-18л. МЕНЮ  '!E311</f>
        <v>8.5749999999999993</v>
      </c>
      <c r="J40" s="108">
        <f>'12-18л. МЕНЮ  '!E366</f>
        <v>9.3670000000000009</v>
      </c>
      <c r="K40" s="108">
        <f>'12-18л. МЕНЮ  '!E479</f>
        <v>8.6080000000000005</v>
      </c>
      <c r="L40" s="108">
        <f>'12-18л. МЕНЮ  '!E534</f>
        <v>9.1850000000000005</v>
      </c>
      <c r="M40" s="78">
        <f>'12-18л. МЕНЮ  '!E588</f>
        <v>9.0846999999999998</v>
      </c>
      <c r="N40" s="108">
        <f>'12-18л. МЕНЮ  '!E643</f>
        <v>7.2430000000000003</v>
      </c>
      <c r="O40" s="108">
        <f>'12-18л. МЕНЮ  '!E696</f>
        <v>6.9032999999999998</v>
      </c>
      <c r="P40" s="1508">
        <f>'12-18л. МЕНЮ  '!E753</f>
        <v>12.975999999999999</v>
      </c>
      <c r="Q40" s="2248">
        <f t="shared" si="2"/>
        <v>108</v>
      </c>
      <c r="R40" s="2564">
        <f t="shared" si="0"/>
        <v>0</v>
      </c>
      <c r="S40" s="2243">
        <f t="shared" si="1"/>
        <v>108</v>
      </c>
      <c r="T40" s="2244">
        <v>90</v>
      </c>
      <c r="U40" s="3"/>
      <c r="Y40" s="927"/>
      <c r="Z40" s="13"/>
      <c r="AA40" s="1"/>
      <c r="AB40" s="928"/>
      <c r="AD40" s="2213"/>
    </row>
    <row r="41" spans="2:30" ht="11.25" customHeight="1">
      <c r="B41" s="596">
        <v>33</v>
      </c>
      <c r="C41" s="238" t="s">
        <v>63</v>
      </c>
      <c r="D41" s="160">
        <v>9.1999999999999993</v>
      </c>
      <c r="E41" s="182">
        <f>'12-18л. МЕНЮ  '!F92</f>
        <v>8.9740000000000002</v>
      </c>
      <c r="F41" s="108">
        <f>'12-18л. МЕНЮ  '!F146</f>
        <v>9.4159999999999986</v>
      </c>
      <c r="G41" s="108">
        <f>'12-18л. МЕНЮ  '!F204</f>
        <v>10.29</v>
      </c>
      <c r="H41" s="108">
        <f>'12-18л. МЕНЮ  '!F256</f>
        <v>9.0299999999999994</v>
      </c>
      <c r="I41" s="108">
        <f>'12-18л. МЕНЮ  '!F311</f>
        <v>10.34</v>
      </c>
      <c r="J41" s="108">
        <f>'12-18л. МЕНЮ  '!F366</f>
        <v>7.1499999999999995</v>
      </c>
      <c r="K41" s="108">
        <f>'12-18л. МЕНЮ  '!F479</f>
        <v>9.0079999999999991</v>
      </c>
      <c r="L41" s="108">
        <f>'12-18л. МЕНЮ  '!F534</f>
        <v>9.27</v>
      </c>
      <c r="M41" s="108">
        <f>'12-18л. МЕНЮ  '!F588</f>
        <v>8.5</v>
      </c>
      <c r="N41" s="108">
        <f>'12-18л. МЕНЮ  '!F643</f>
        <v>9.3000000000000007</v>
      </c>
      <c r="O41" s="108">
        <f>'12-18л. МЕНЮ  '!F696</f>
        <v>10.584999999999999</v>
      </c>
      <c r="P41" s="1508">
        <f>'12-18л. МЕНЮ  '!F753</f>
        <v>8.5370000000000008</v>
      </c>
      <c r="Q41" s="2248">
        <f t="shared" si="2"/>
        <v>110.39999999999999</v>
      </c>
      <c r="R41" s="2564">
        <f t="shared" si="0"/>
        <v>0</v>
      </c>
      <c r="S41" s="2243">
        <f t="shared" si="1"/>
        <v>110.39999999999999</v>
      </c>
      <c r="T41" s="2244">
        <v>92</v>
      </c>
      <c r="U41" s="3"/>
      <c r="Y41" s="927"/>
      <c r="Z41" s="13"/>
      <c r="AA41" s="1"/>
      <c r="AB41" s="928"/>
      <c r="AD41" s="2209"/>
    </row>
    <row r="42" spans="2:30" ht="12.75" customHeight="1">
      <c r="B42" s="596">
        <v>34</v>
      </c>
      <c r="C42" s="238" t="s">
        <v>64</v>
      </c>
      <c r="D42" s="160">
        <v>38.299999999999997</v>
      </c>
      <c r="E42" s="158">
        <f>'12-18л. МЕНЮ  '!G92</f>
        <v>39.692999999999998</v>
      </c>
      <c r="F42" s="108">
        <f>'12-18л. МЕНЮ  '!G146</f>
        <v>37.26</v>
      </c>
      <c r="G42" s="108">
        <f>'12-18л. МЕНЮ  '!G204</f>
        <v>39.986999999999995</v>
      </c>
      <c r="H42" s="108">
        <f>'12-18л. МЕНЮ  '!G256</f>
        <v>38.354000000000006</v>
      </c>
      <c r="I42" s="108">
        <f>'12-18л. МЕНЮ  '!G311</f>
        <v>36.117999999999995</v>
      </c>
      <c r="J42" s="108">
        <f>'12-18л. МЕНЮ  '!G366</f>
        <v>38.387999999999998</v>
      </c>
      <c r="K42" s="108">
        <f>'12-18л. МЕНЮ  '!G479</f>
        <v>34.499000000000002</v>
      </c>
      <c r="L42" s="108">
        <f>'12-18л. МЕНЮ  '!G534</f>
        <v>38.009</v>
      </c>
      <c r="M42" s="108">
        <f>'12-18л. МЕНЮ  '!G588</f>
        <v>39.375999999999998</v>
      </c>
      <c r="N42" s="108">
        <f>'12-18л. МЕНЮ  '!G643</f>
        <v>39.673000000000002</v>
      </c>
      <c r="O42" s="108">
        <f>'12-18л. МЕНЮ  '!G696</f>
        <v>34.781999999999996</v>
      </c>
      <c r="P42" s="1508">
        <f>'12-18л. МЕНЮ  '!G753</f>
        <v>43.460999999999999</v>
      </c>
      <c r="Q42" s="2248">
        <f t="shared" si="2"/>
        <v>459.6</v>
      </c>
      <c r="R42" s="2564">
        <f t="shared" si="0"/>
        <v>0</v>
      </c>
      <c r="S42" s="2243">
        <f t="shared" si="1"/>
        <v>459.59999999999997</v>
      </c>
      <c r="T42" s="2244">
        <v>383</v>
      </c>
      <c r="U42" s="3"/>
      <c r="Y42" s="927"/>
      <c r="Z42" s="13"/>
      <c r="AA42" s="1"/>
      <c r="AB42" s="928"/>
      <c r="AD42" s="2209"/>
    </row>
    <row r="43" spans="2:30" ht="15" customHeight="1" thickBot="1">
      <c r="B43" s="642">
        <v>35</v>
      </c>
      <c r="C43" s="643" t="s">
        <v>65</v>
      </c>
      <c r="D43" s="161">
        <v>272</v>
      </c>
      <c r="E43" s="2387">
        <f>'12-18л. МЕНЮ  '!H92</f>
        <v>269.63400000000001</v>
      </c>
      <c r="F43" s="112">
        <f>'12-18л. МЕНЮ  '!H146</f>
        <v>270.29200000000003</v>
      </c>
      <c r="G43" s="112">
        <f>'12-18л. МЕНЮ  '!H204</f>
        <v>276.20400000000001</v>
      </c>
      <c r="H43" s="112">
        <f>'12-18л. МЕНЮ  '!H256</f>
        <v>271.322</v>
      </c>
      <c r="I43" s="112">
        <f>'12-18л. МЕНЮ  '!H311</f>
        <v>271.83000000000004</v>
      </c>
      <c r="J43" s="112">
        <f>'12-18л. МЕНЮ  '!H366</f>
        <v>272.71799999999996</v>
      </c>
      <c r="K43" s="112">
        <f>'12-18л. МЕНЮ  '!H479</f>
        <v>274.12800000000004</v>
      </c>
      <c r="L43" s="120">
        <f>'12-18л. МЕНЮ  '!H534</f>
        <v>272.20600000000002</v>
      </c>
      <c r="M43" s="112">
        <f>'12-18л. МЕНЮ  '!H588</f>
        <v>270.54300000000001</v>
      </c>
      <c r="N43" s="112">
        <f>'12-18л. МЕНЮ  '!H643</f>
        <v>276.85000000000002</v>
      </c>
      <c r="O43" s="112">
        <f>'12-18л. МЕНЮ  '!H696</f>
        <v>269.99900000000002</v>
      </c>
      <c r="P43" s="1509">
        <f>'12-18л. МЕНЮ  '!H753</f>
        <v>268.27</v>
      </c>
      <c r="Q43" s="2249">
        <f t="shared" si="2"/>
        <v>3263.9960000000005</v>
      </c>
      <c r="R43" s="2616">
        <f t="shared" si="0"/>
        <v>-1.2254901959352082E-4</v>
      </c>
      <c r="S43" s="2246">
        <f t="shared" si="1"/>
        <v>3264</v>
      </c>
      <c r="T43" s="2247">
        <v>2720</v>
      </c>
      <c r="U43" s="3"/>
      <c r="Y43" s="945"/>
      <c r="Z43" s="13"/>
      <c r="AA43" s="946"/>
      <c r="AB43" s="928"/>
      <c r="AD43" s="2209"/>
    </row>
    <row r="46" spans="2:30" ht="13.5" customHeight="1"/>
    <row r="47" spans="2:30" ht="12.75" customHeight="1"/>
    <row r="48" spans="2:30" ht="12.75" customHeight="1"/>
    <row r="49" spans="2:18" ht="11.25" customHeight="1"/>
    <row r="50" spans="2:18" ht="11.25" customHeight="1"/>
    <row r="52" spans="2:18">
      <c r="B52" t="s">
        <v>304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8">
      <c r="B53" t="s">
        <v>305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2231"/>
      <c r="R53" s="329"/>
    </row>
    <row r="54" spans="2:18">
      <c r="B54" t="s">
        <v>306</v>
      </c>
      <c r="O54" s="329"/>
      <c r="P54" s="329"/>
      <c r="Q54" s="2231"/>
      <c r="R54" s="329"/>
    </row>
    <row r="55" spans="2: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2"/>
    </row>
    <row r="56" spans="2:18">
      <c r="B56" s="1" t="s">
        <v>307</v>
      </c>
      <c r="Q56" s="22"/>
    </row>
    <row r="57" spans="2:18">
      <c r="B57" t="s">
        <v>308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230"/>
      <c r="R57" s="11"/>
    </row>
    <row r="58" spans="2: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2231"/>
      <c r="R58" s="329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86" spans="2:28">
      <c r="B86" s="94"/>
      <c r="D86" s="94"/>
    </row>
    <row r="87" spans="2:28">
      <c r="C87" s="13"/>
      <c r="D87" s="22"/>
      <c r="E87" s="14"/>
      <c r="F87" s="14"/>
      <c r="G87" s="14"/>
      <c r="H87" s="14"/>
      <c r="I87" s="14"/>
      <c r="J87" s="14"/>
      <c r="K87" s="14"/>
      <c r="L87" s="14"/>
      <c r="M87" s="13"/>
      <c r="N87" s="13"/>
      <c r="O87" s="9"/>
      <c r="P87" s="9"/>
      <c r="Q87" s="13"/>
      <c r="R87" s="22"/>
      <c r="T87" s="22"/>
      <c r="U87" s="13"/>
    </row>
    <row r="88" spans="2:28">
      <c r="C88" s="13"/>
      <c r="D88" s="9"/>
      <c r="E88" s="14"/>
      <c r="F88" s="14"/>
      <c r="G88" s="14"/>
      <c r="H88" s="14"/>
      <c r="I88" s="14"/>
      <c r="J88" s="14"/>
      <c r="K88" s="14"/>
      <c r="L88" s="14"/>
      <c r="M88" s="13"/>
      <c r="N88" s="13"/>
      <c r="O88" s="9"/>
      <c r="P88" s="9"/>
      <c r="Q88" s="13"/>
      <c r="R88" s="22"/>
      <c r="T88" s="22"/>
      <c r="U88" s="13"/>
    </row>
    <row r="89" spans="2:28">
      <c r="C89" s="22"/>
      <c r="D89" s="22"/>
      <c r="E89" s="14"/>
      <c r="F89" s="14"/>
      <c r="G89" s="14"/>
      <c r="H89" s="14"/>
      <c r="K89" s="14"/>
      <c r="L89" s="48"/>
      <c r="M89" s="13"/>
      <c r="N89" s="13"/>
      <c r="O89" s="9"/>
      <c r="P89" s="9"/>
      <c r="Q89" s="22"/>
      <c r="R89" s="22"/>
      <c r="T89" s="22"/>
      <c r="U89" s="13"/>
      <c r="AB89" s="922"/>
    </row>
    <row r="90" spans="2:28">
      <c r="C90" s="13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/>
      <c r="P90" s="9"/>
      <c r="Q90" s="22"/>
      <c r="R90" s="22"/>
      <c r="T90" s="22"/>
      <c r="U90" s="13"/>
      <c r="Z90" s="150"/>
      <c r="AB90" s="922"/>
    </row>
    <row r="91" spans="2:28">
      <c r="C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9"/>
      <c r="P91" s="9"/>
      <c r="Q91" s="13"/>
      <c r="R91" s="22"/>
      <c r="T91" s="22"/>
      <c r="U91" s="13"/>
      <c r="Z91" s="150"/>
      <c r="AB91" s="923"/>
    </row>
    <row r="92" spans="2:28">
      <c r="C92" s="13"/>
      <c r="D92" s="14"/>
      <c r="E92" s="13"/>
      <c r="F92" s="13"/>
      <c r="G92" s="13"/>
      <c r="H92" s="13"/>
      <c r="I92" s="4"/>
      <c r="J92" s="13"/>
      <c r="K92" s="13"/>
      <c r="L92" s="13"/>
      <c r="M92" s="13"/>
      <c r="N92" s="4"/>
      <c r="O92" s="9"/>
      <c r="P92" s="9"/>
      <c r="Q92" s="14"/>
      <c r="R92" s="22"/>
      <c r="S92" s="13"/>
      <c r="T92" s="22"/>
      <c r="U92" s="13"/>
      <c r="W92" s="345"/>
      <c r="X92" s="22"/>
      <c r="Y92" s="3"/>
      <c r="Z92" s="924"/>
      <c r="AB92" s="923"/>
    </row>
    <row r="93" spans="2:28">
      <c r="B93" s="3"/>
      <c r="C93" s="13"/>
      <c r="D93" s="925"/>
      <c r="E93" s="940"/>
      <c r="F93" s="926"/>
      <c r="G93" s="926"/>
      <c r="H93" s="926"/>
      <c r="I93" s="926"/>
      <c r="J93" s="926"/>
      <c r="K93" s="926"/>
      <c r="L93" s="926"/>
      <c r="M93" s="926"/>
      <c r="N93" s="926"/>
      <c r="O93" s="925"/>
      <c r="P93" s="22"/>
      <c r="Q93" s="22"/>
      <c r="S93" s="64"/>
      <c r="W93" s="927"/>
      <c r="X93" s="13"/>
      <c r="Y93" s="1"/>
      <c r="Z93" s="928"/>
      <c r="AB93" s="929"/>
    </row>
    <row r="94" spans="2:28">
      <c r="B94" s="3"/>
      <c r="C94" s="13"/>
      <c r="D94" s="925"/>
      <c r="E94" s="940"/>
      <c r="F94" s="926"/>
      <c r="G94" s="926"/>
      <c r="H94" s="926"/>
      <c r="I94" s="926"/>
      <c r="J94" s="926"/>
      <c r="K94" s="926"/>
      <c r="L94" s="926"/>
      <c r="M94" s="926"/>
      <c r="N94" s="926"/>
      <c r="O94" s="930"/>
      <c r="P94" s="107"/>
      <c r="Q94" s="22"/>
      <c r="W94" s="927"/>
      <c r="X94" s="13"/>
      <c r="Y94" s="1"/>
      <c r="Z94" s="928"/>
      <c r="AB94" s="929"/>
    </row>
    <row r="95" spans="2:28">
      <c r="B95" s="3"/>
      <c r="C95" s="13"/>
      <c r="D95" s="925"/>
      <c r="E95" s="940"/>
      <c r="F95" s="926"/>
      <c r="G95" s="926"/>
      <c r="H95" s="940"/>
      <c r="I95" s="926"/>
      <c r="J95" s="926"/>
      <c r="K95" s="940"/>
      <c r="L95" s="926"/>
      <c r="M95" s="926"/>
      <c r="N95" s="926"/>
      <c r="O95" s="925"/>
      <c r="P95" s="107"/>
      <c r="Q95" s="22"/>
      <c r="W95" s="927"/>
      <c r="X95" s="13"/>
      <c r="Y95" s="1"/>
      <c r="Z95" s="928"/>
      <c r="AB95" s="931"/>
    </row>
    <row r="96" spans="2:28">
      <c r="B96" s="3"/>
      <c r="C96" s="13"/>
      <c r="D96" s="925"/>
      <c r="E96" s="940"/>
      <c r="F96" s="926"/>
      <c r="G96" s="926"/>
      <c r="H96" s="926"/>
      <c r="I96" s="926"/>
      <c r="J96" s="926"/>
      <c r="K96" s="926"/>
      <c r="L96" s="926"/>
      <c r="M96" s="926"/>
      <c r="N96" s="940"/>
      <c r="O96" s="932"/>
      <c r="P96" s="107"/>
      <c r="Q96" s="22"/>
      <c r="W96" s="927"/>
      <c r="X96" s="13"/>
      <c r="Y96" s="1"/>
      <c r="Z96" s="928"/>
      <c r="AB96" s="929"/>
    </row>
    <row r="97" spans="2:28">
      <c r="B97" s="3"/>
      <c r="C97" s="13"/>
      <c r="D97" s="925"/>
      <c r="E97" s="940"/>
      <c r="F97" s="926"/>
      <c r="G97" s="926"/>
      <c r="H97" s="926"/>
      <c r="I97" s="926"/>
      <c r="J97" s="926"/>
      <c r="K97" s="926"/>
      <c r="L97" s="926"/>
      <c r="M97" s="926"/>
      <c r="N97" s="926"/>
      <c r="O97" s="925"/>
      <c r="P97" s="107"/>
      <c r="Q97" s="22"/>
      <c r="W97" s="927"/>
      <c r="X97" s="13"/>
      <c r="Y97" s="1"/>
      <c r="Z97" s="928"/>
      <c r="AB97" s="933"/>
    </row>
    <row r="98" spans="2:28">
      <c r="B98" s="3"/>
      <c r="C98" s="13"/>
      <c r="D98" s="925"/>
      <c r="E98" s="940"/>
      <c r="F98" s="926"/>
      <c r="G98" s="926"/>
      <c r="H98" s="926"/>
      <c r="I98" s="926"/>
      <c r="J98" s="926"/>
      <c r="K98" s="926"/>
      <c r="L98" s="926"/>
      <c r="M98" s="926"/>
      <c r="N98" s="926"/>
      <c r="O98" s="925"/>
      <c r="P98" s="107"/>
      <c r="Q98" s="22"/>
      <c r="W98" s="927"/>
      <c r="X98" s="13"/>
      <c r="Y98" s="1"/>
      <c r="Z98" s="928"/>
      <c r="AB98" s="931"/>
    </row>
    <row r="99" spans="2:28">
      <c r="B99" s="3"/>
      <c r="C99" s="13"/>
      <c r="D99" s="925"/>
      <c r="E99" s="940"/>
      <c r="F99" s="926"/>
      <c r="G99" s="9"/>
      <c r="H99" s="935"/>
      <c r="I99" s="940"/>
      <c r="J99" s="926"/>
      <c r="K99" s="926"/>
      <c r="L99" s="926"/>
      <c r="M99" s="926"/>
      <c r="N99" s="926"/>
      <c r="O99" s="934"/>
      <c r="P99" s="107"/>
      <c r="Q99" s="22"/>
      <c r="W99" s="927"/>
      <c r="X99" s="13"/>
      <c r="Y99" s="1"/>
      <c r="Z99" s="928"/>
      <c r="AB99" s="933"/>
    </row>
    <row r="100" spans="2:28">
      <c r="B100" s="3"/>
      <c r="C100" s="13"/>
      <c r="D100" s="925"/>
      <c r="E100" s="940"/>
      <c r="F100" s="926"/>
      <c r="G100" s="926"/>
      <c r="H100" s="926"/>
      <c r="I100" s="926"/>
      <c r="J100" s="926"/>
      <c r="K100" s="926"/>
      <c r="L100" s="926"/>
      <c r="M100" s="926"/>
      <c r="N100" s="926"/>
      <c r="O100" s="925"/>
      <c r="P100" s="107"/>
      <c r="Q100" s="22"/>
      <c r="W100" s="927"/>
      <c r="X100" s="13"/>
      <c r="Y100" s="1"/>
      <c r="Z100" s="928"/>
      <c r="AB100" s="929"/>
    </row>
    <row r="101" spans="2:28">
      <c r="B101" s="3"/>
      <c r="C101" s="13"/>
      <c r="D101" s="925"/>
      <c r="E101" s="940"/>
      <c r="F101" s="926"/>
      <c r="G101" s="926"/>
      <c r="H101" s="926"/>
      <c r="I101" s="926"/>
      <c r="J101" s="926"/>
      <c r="K101" s="926"/>
      <c r="L101" s="926"/>
      <c r="M101" s="926"/>
      <c r="N101" s="926"/>
      <c r="O101" s="925"/>
      <c r="P101" s="107"/>
      <c r="Q101" s="22"/>
      <c r="W101" s="927"/>
      <c r="X101" s="13"/>
      <c r="Y101" s="1"/>
      <c r="Z101" s="928"/>
      <c r="AB101" s="929"/>
    </row>
    <row r="102" spans="2:28" ht="12.75" customHeight="1">
      <c r="B102" s="3"/>
      <c r="C102" s="13"/>
      <c r="D102" s="925"/>
      <c r="E102" s="940"/>
      <c r="F102" s="926"/>
      <c r="G102" s="926"/>
      <c r="H102" s="926"/>
      <c r="I102" s="926"/>
      <c r="J102" s="926"/>
      <c r="K102" s="926"/>
      <c r="L102" s="926"/>
      <c r="M102" s="926"/>
      <c r="N102" s="926"/>
      <c r="O102" s="925"/>
      <c r="P102" s="107"/>
      <c r="Q102" s="22"/>
      <c r="W102" s="927"/>
      <c r="X102" s="13"/>
      <c r="Y102" s="1"/>
      <c r="Z102" s="928"/>
      <c r="AB102" s="929"/>
    </row>
    <row r="103" spans="2:28" ht="13.5" customHeight="1">
      <c r="B103" s="3"/>
      <c r="C103" s="13"/>
      <c r="D103" s="925"/>
      <c r="E103" s="940"/>
      <c r="F103" s="926"/>
      <c r="G103" s="926"/>
      <c r="H103" s="926"/>
      <c r="I103" s="926"/>
      <c r="J103" s="926"/>
      <c r="K103" s="926"/>
      <c r="L103" s="926"/>
      <c r="M103" s="926"/>
      <c r="N103" s="926"/>
      <c r="O103" s="925"/>
      <c r="P103" s="107"/>
      <c r="Q103" s="22"/>
      <c r="W103" s="927"/>
      <c r="X103" s="13"/>
      <c r="Y103" s="1"/>
      <c r="Z103" s="928"/>
      <c r="AB103" s="929"/>
    </row>
    <row r="104" spans="2:28" ht="12.75" customHeight="1">
      <c r="B104" s="3"/>
      <c r="C104" s="13"/>
      <c r="D104" s="925"/>
      <c r="E104" s="940"/>
      <c r="F104" s="926"/>
      <c r="G104" s="926"/>
      <c r="H104" s="926"/>
      <c r="I104" s="926"/>
      <c r="J104" s="926"/>
      <c r="K104" s="926"/>
      <c r="L104" s="926"/>
      <c r="M104" s="926"/>
      <c r="N104" s="926"/>
      <c r="O104" s="925"/>
      <c r="P104" s="107"/>
      <c r="Q104" s="22"/>
      <c r="W104" s="927"/>
      <c r="X104" s="13"/>
      <c r="Y104" s="1"/>
      <c r="Z104" s="928"/>
      <c r="AB104" s="929"/>
    </row>
    <row r="105" spans="2:28">
      <c r="B105" s="3"/>
      <c r="C105" s="13"/>
      <c r="D105" s="925"/>
      <c r="E105" s="940"/>
      <c r="F105" s="926"/>
      <c r="G105" s="926"/>
      <c r="H105" s="926"/>
      <c r="I105" s="926"/>
      <c r="J105" s="926"/>
      <c r="K105" s="926"/>
      <c r="L105" s="926"/>
      <c r="M105" s="926"/>
      <c r="N105" s="926"/>
      <c r="O105" s="925"/>
      <c r="P105" s="107"/>
      <c r="Q105" s="22"/>
      <c r="W105" s="927"/>
      <c r="X105" s="13"/>
      <c r="Y105" s="1"/>
      <c r="Z105" s="928"/>
      <c r="AB105" s="929"/>
    </row>
    <row r="106" spans="2:28">
      <c r="B106" s="3"/>
      <c r="C106" s="13"/>
      <c r="D106" s="925"/>
      <c r="E106" s="940"/>
      <c r="F106" s="926"/>
      <c r="G106" s="926"/>
      <c r="H106" s="926"/>
      <c r="I106" s="926"/>
      <c r="J106" s="926"/>
      <c r="K106" s="926"/>
      <c r="L106" s="926"/>
      <c r="M106" s="926"/>
      <c r="N106" s="926"/>
      <c r="O106" s="925"/>
      <c r="P106" s="107"/>
      <c r="Q106" s="22"/>
      <c r="W106" s="927"/>
      <c r="X106" s="13"/>
      <c r="Y106" s="1"/>
      <c r="Z106" s="928"/>
      <c r="AB106" s="929"/>
    </row>
    <row r="107" spans="2:28">
      <c r="B107" s="3"/>
      <c r="C107" s="13"/>
      <c r="D107" s="925"/>
      <c r="E107" s="940"/>
      <c r="F107" s="926"/>
      <c r="G107" s="926"/>
      <c r="H107" s="926"/>
      <c r="I107" s="926"/>
      <c r="J107" s="926"/>
      <c r="K107" s="926"/>
      <c r="L107" s="926"/>
      <c r="M107" s="926"/>
      <c r="N107" s="926"/>
      <c r="O107" s="925"/>
      <c r="P107" s="107"/>
      <c r="Q107" s="22"/>
      <c r="W107" s="927"/>
      <c r="X107" s="13"/>
      <c r="Y107" s="1"/>
      <c r="Z107" s="928"/>
      <c r="AB107" s="931"/>
    </row>
    <row r="108" spans="2:28" ht="12.75" customHeight="1">
      <c r="B108" s="3"/>
      <c r="C108" s="13"/>
      <c r="D108" s="925"/>
      <c r="E108" s="943"/>
      <c r="F108" s="935"/>
      <c r="G108" s="936"/>
      <c r="H108" s="926"/>
      <c r="I108" s="926"/>
      <c r="J108" s="926"/>
      <c r="K108" s="926"/>
      <c r="L108" s="935"/>
      <c r="M108" s="935"/>
      <c r="N108" s="926"/>
      <c r="O108" s="930"/>
      <c r="P108" s="107"/>
      <c r="Q108" s="22"/>
      <c r="W108" s="927"/>
      <c r="X108" s="13"/>
      <c r="Y108" s="1"/>
      <c r="Z108" s="928"/>
      <c r="AB108" s="937"/>
    </row>
    <row r="109" spans="2:28" ht="12.75" customHeight="1">
      <c r="B109" s="3"/>
      <c r="C109" s="13"/>
      <c r="D109" s="925"/>
      <c r="E109" s="943"/>
      <c r="F109" s="935"/>
      <c r="G109" s="936"/>
      <c r="H109" s="926"/>
      <c r="I109" s="926"/>
      <c r="J109" s="926"/>
      <c r="K109" s="926"/>
      <c r="L109" s="935"/>
      <c r="M109" s="935"/>
      <c r="N109" s="926"/>
      <c r="O109" s="925"/>
      <c r="P109" s="107"/>
      <c r="Q109" s="22"/>
      <c r="W109" s="927"/>
      <c r="X109" s="13"/>
      <c r="Y109" s="1"/>
      <c r="Z109" s="928"/>
      <c r="AB109" s="929"/>
    </row>
    <row r="110" spans="2:28" ht="11.25" customHeight="1">
      <c r="B110" s="3"/>
      <c r="C110" s="13"/>
      <c r="D110" s="925"/>
      <c r="E110" s="943"/>
      <c r="F110" s="935"/>
      <c r="G110" s="936"/>
      <c r="H110" s="926"/>
      <c r="I110" s="926"/>
      <c r="J110" s="926"/>
      <c r="K110" s="926"/>
      <c r="L110" s="935"/>
      <c r="M110" s="935"/>
      <c r="N110" s="926"/>
      <c r="O110" s="925"/>
      <c r="P110" s="107"/>
      <c r="Q110" s="22"/>
      <c r="W110" s="927"/>
      <c r="X110" s="13"/>
      <c r="Y110" s="1"/>
      <c r="Z110" s="928"/>
      <c r="AB110" s="929"/>
    </row>
    <row r="111" spans="2:28" ht="12.75" customHeight="1">
      <c r="B111" s="3"/>
      <c r="C111" s="13"/>
      <c r="D111" s="925"/>
      <c r="E111" s="943"/>
      <c r="F111" s="935"/>
      <c r="G111" s="936"/>
      <c r="H111" s="926"/>
      <c r="I111" s="947"/>
      <c r="J111" s="926"/>
      <c r="K111" s="947"/>
      <c r="L111" s="940"/>
      <c r="M111" s="940"/>
      <c r="N111" s="926"/>
      <c r="O111" s="925"/>
      <c r="P111" s="107"/>
      <c r="Q111" s="22"/>
      <c r="W111" s="927"/>
      <c r="X111" s="13"/>
      <c r="Y111" s="1"/>
      <c r="Z111" s="928"/>
      <c r="AB111" s="933"/>
    </row>
    <row r="112" spans="2:28" ht="13.5" customHeight="1">
      <c r="B112" s="3"/>
      <c r="C112" s="13"/>
      <c r="D112" s="925"/>
      <c r="E112" s="943"/>
      <c r="F112" s="940"/>
      <c r="G112" s="936"/>
      <c r="H112" s="926"/>
      <c r="I112" s="926"/>
      <c r="J112" s="926"/>
      <c r="K112" s="926"/>
      <c r="L112" s="940"/>
      <c r="M112" s="940"/>
      <c r="N112" s="926"/>
      <c r="O112" s="925"/>
      <c r="P112" s="107"/>
      <c r="Q112" s="22"/>
      <c r="W112" s="927"/>
      <c r="X112" s="13"/>
      <c r="Y112" s="1"/>
      <c r="Z112" s="928"/>
      <c r="AB112" s="929"/>
    </row>
    <row r="113" spans="2:28" ht="14.25" customHeight="1">
      <c r="B113" s="3"/>
      <c r="C113" s="13"/>
      <c r="D113" s="925"/>
      <c r="E113" s="943"/>
      <c r="F113" s="935"/>
      <c r="G113" s="936"/>
      <c r="H113" s="926"/>
      <c r="I113" s="926"/>
      <c r="J113" s="926"/>
      <c r="K113" s="926"/>
      <c r="L113" s="940"/>
      <c r="M113" s="935"/>
      <c r="N113" s="926"/>
      <c r="O113" s="925"/>
      <c r="P113" s="107"/>
      <c r="Q113" s="22"/>
      <c r="W113" s="927"/>
      <c r="X113" s="13"/>
      <c r="Y113" s="1"/>
      <c r="Z113" s="928"/>
      <c r="AB113" s="929"/>
    </row>
    <row r="114" spans="2:28">
      <c r="B114" s="3"/>
      <c r="C114" s="13"/>
      <c r="D114" s="925"/>
      <c r="E114" s="943"/>
      <c r="F114" s="940"/>
      <c r="G114" s="936"/>
      <c r="H114" s="926"/>
      <c r="I114" s="926"/>
      <c r="J114" s="926"/>
      <c r="K114" s="926"/>
      <c r="L114" s="936"/>
      <c r="M114" s="936"/>
      <c r="N114" s="9"/>
      <c r="O114" s="925"/>
      <c r="P114" s="107"/>
      <c r="Q114" s="22"/>
      <c r="W114" s="927"/>
      <c r="X114" s="13"/>
      <c r="Y114" s="1"/>
      <c r="Z114" s="928"/>
      <c r="AB114" s="929"/>
    </row>
    <row r="115" spans="2:28" ht="14.25" customHeight="1">
      <c r="B115" s="3"/>
      <c r="C115" s="13"/>
      <c r="D115" s="925"/>
      <c r="E115" s="943"/>
      <c r="F115" s="940"/>
      <c r="G115" s="940"/>
      <c r="H115" s="926"/>
      <c r="I115" s="926"/>
      <c r="J115" s="926"/>
      <c r="K115" s="935"/>
      <c r="L115" s="947"/>
      <c r="M115" s="940"/>
      <c r="N115" s="936"/>
      <c r="O115" s="925"/>
      <c r="P115" s="107"/>
      <c r="Q115" s="22"/>
      <c r="W115" s="927"/>
      <c r="X115" s="13"/>
      <c r="Y115" s="1"/>
      <c r="Z115" s="928"/>
      <c r="AB115" s="929"/>
    </row>
    <row r="116" spans="2:28">
      <c r="B116" s="3"/>
      <c r="C116" s="13"/>
      <c r="D116" s="925"/>
      <c r="E116" s="943"/>
      <c r="F116" s="935"/>
      <c r="G116" s="936"/>
      <c r="H116" s="926"/>
      <c r="I116" s="926"/>
      <c r="J116" s="926"/>
      <c r="K116" s="926"/>
      <c r="L116" s="935"/>
      <c r="M116" s="935"/>
      <c r="N116" s="926"/>
      <c r="O116" s="925"/>
      <c r="P116" s="107"/>
      <c r="Q116" s="22"/>
      <c r="W116" s="927"/>
      <c r="X116" s="13"/>
      <c r="Y116" s="1"/>
      <c r="Z116" s="928"/>
      <c r="AB116" s="929"/>
    </row>
    <row r="117" spans="2:28" ht="11.25" customHeight="1">
      <c r="B117" s="3"/>
      <c r="C117" s="13"/>
      <c r="D117" s="925"/>
      <c r="E117" s="943"/>
      <c r="F117" s="940"/>
      <c r="G117" s="936"/>
      <c r="H117" s="926"/>
      <c r="I117" s="926"/>
      <c r="J117" s="926"/>
      <c r="K117" s="926"/>
      <c r="L117" s="936"/>
      <c r="M117" s="936"/>
      <c r="N117" s="926"/>
      <c r="O117" s="925"/>
      <c r="P117" s="938"/>
      <c r="Q117" s="22"/>
      <c r="W117" s="927"/>
      <c r="X117" s="13"/>
      <c r="Y117" s="1"/>
      <c r="Z117" s="928"/>
      <c r="AB117" s="939"/>
    </row>
    <row r="118" spans="2:28">
      <c r="B118" s="3"/>
      <c r="C118" s="13"/>
      <c r="D118" s="925"/>
      <c r="E118" s="943"/>
      <c r="F118" s="935"/>
      <c r="G118" s="936"/>
      <c r="H118" s="926"/>
      <c r="I118" s="926"/>
      <c r="J118" s="926"/>
      <c r="K118" s="926"/>
      <c r="L118" s="936"/>
      <c r="M118" s="936"/>
      <c r="N118" s="926"/>
      <c r="O118" s="925"/>
      <c r="P118" s="107"/>
      <c r="Q118" s="22"/>
      <c r="W118" s="927"/>
      <c r="X118" s="13"/>
      <c r="Y118" s="1"/>
      <c r="Z118" s="928"/>
      <c r="AB118" s="929"/>
    </row>
    <row r="119" spans="2:28">
      <c r="B119" s="3"/>
      <c r="C119" s="13"/>
      <c r="D119" s="925"/>
      <c r="E119" s="943"/>
      <c r="F119" s="936"/>
      <c r="G119" s="940"/>
      <c r="H119" s="926"/>
      <c r="I119" s="926"/>
      <c r="J119" s="926"/>
      <c r="K119" s="926"/>
      <c r="L119" s="947"/>
      <c r="M119" s="940"/>
      <c r="N119" s="926"/>
      <c r="O119" s="925"/>
      <c r="P119" s="938"/>
      <c r="Q119" s="22"/>
      <c r="W119" s="927"/>
      <c r="X119" s="13"/>
      <c r="Y119" s="1"/>
      <c r="Z119" s="928"/>
      <c r="AB119" s="939"/>
    </row>
    <row r="120" spans="2:28" hidden="1">
      <c r="B120" s="3"/>
      <c r="C120" s="13"/>
      <c r="D120" s="925"/>
      <c r="E120" s="943"/>
      <c r="F120" s="940"/>
      <c r="G120" s="936"/>
      <c r="H120" s="926"/>
      <c r="I120" s="926"/>
      <c r="J120" s="926"/>
      <c r="K120" s="926"/>
      <c r="L120" s="935"/>
      <c r="M120" s="935"/>
      <c r="N120" s="926"/>
      <c r="O120" s="925"/>
      <c r="P120" s="107"/>
      <c r="Q120" s="22"/>
      <c r="W120" s="927"/>
      <c r="X120" s="13"/>
      <c r="Y120" s="1"/>
      <c r="Z120" s="928"/>
      <c r="AB120" s="933"/>
    </row>
    <row r="121" spans="2:28">
      <c r="B121" s="3"/>
      <c r="C121" s="4"/>
      <c r="D121" s="925"/>
      <c r="E121" s="943"/>
      <c r="F121" s="936"/>
      <c r="G121" s="936"/>
      <c r="H121" s="926"/>
      <c r="I121" s="926"/>
      <c r="J121" s="926"/>
      <c r="K121" s="926"/>
      <c r="L121" s="940"/>
      <c r="M121" s="940"/>
      <c r="N121" s="926"/>
      <c r="O121" s="925"/>
      <c r="P121" s="107"/>
      <c r="Q121" s="22"/>
      <c r="W121" s="927"/>
      <c r="X121" s="13"/>
      <c r="Y121" s="1"/>
      <c r="Z121" s="928"/>
      <c r="AB121" s="929"/>
    </row>
    <row r="122" spans="2:28">
      <c r="B122" s="3"/>
      <c r="C122" s="13"/>
      <c r="D122" s="925"/>
      <c r="E122" s="943"/>
      <c r="F122" s="935"/>
      <c r="G122" s="936"/>
      <c r="H122" s="947"/>
      <c r="I122" s="926"/>
      <c r="J122" s="926"/>
      <c r="K122" s="926"/>
      <c r="L122" s="935"/>
      <c r="M122" s="936"/>
      <c r="N122" s="926"/>
      <c r="O122" s="930"/>
      <c r="P122" s="938"/>
      <c r="Q122" s="22"/>
      <c r="W122" s="927"/>
      <c r="X122" s="13"/>
      <c r="Y122" s="1"/>
      <c r="Z122" s="928"/>
      <c r="AB122" s="939"/>
    </row>
    <row r="123" spans="2:28">
      <c r="B123" s="3"/>
      <c r="C123" s="13"/>
      <c r="D123" s="925"/>
      <c r="E123" s="943"/>
      <c r="F123" s="947"/>
      <c r="G123" s="947"/>
      <c r="H123" s="926"/>
      <c r="I123" s="926"/>
      <c r="J123" s="926"/>
      <c r="K123" s="926"/>
      <c r="L123" s="948"/>
      <c r="M123" s="947"/>
      <c r="N123" s="926"/>
      <c r="O123" s="930"/>
      <c r="P123" s="107"/>
      <c r="Q123" s="22"/>
      <c r="W123" s="927"/>
      <c r="X123" s="13"/>
      <c r="Y123" s="1"/>
      <c r="Z123" s="928"/>
      <c r="AB123" s="942"/>
    </row>
    <row r="124" spans="2:28">
      <c r="B124" s="3"/>
      <c r="C124" s="13"/>
      <c r="D124" s="925"/>
      <c r="E124" s="943"/>
      <c r="F124" s="151"/>
      <c r="G124" s="151"/>
      <c r="H124" s="151"/>
      <c r="I124" s="151"/>
      <c r="J124" s="151"/>
      <c r="K124" s="151"/>
      <c r="L124" s="151"/>
      <c r="M124" s="151"/>
      <c r="N124" s="151"/>
      <c r="O124" s="930"/>
      <c r="P124" s="107"/>
      <c r="Q124" s="22"/>
      <c r="W124" s="927"/>
      <c r="X124" s="13"/>
      <c r="Y124" s="1"/>
      <c r="Z124" s="928"/>
      <c r="AB124" s="929"/>
    </row>
    <row r="125" spans="2:28" ht="11.25" customHeight="1">
      <c r="B125" s="3"/>
      <c r="C125" s="13"/>
      <c r="D125" s="925"/>
      <c r="E125" s="943"/>
      <c r="F125" s="151"/>
      <c r="G125" s="151"/>
      <c r="H125" s="151"/>
      <c r="I125" s="151"/>
      <c r="J125" s="151"/>
      <c r="K125" s="151"/>
      <c r="L125" s="151"/>
      <c r="M125" s="151"/>
      <c r="N125" s="151"/>
      <c r="O125" s="930"/>
      <c r="P125" s="107"/>
      <c r="Q125" s="22"/>
      <c r="W125" s="927"/>
      <c r="X125" s="13"/>
      <c r="Y125" s="1"/>
      <c r="Z125" s="928"/>
      <c r="AB125" s="929"/>
    </row>
    <row r="126" spans="2:28" ht="12.75" customHeight="1">
      <c r="B126" s="3"/>
      <c r="C126" s="13"/>
      <c r="D126" s="925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930"/>
      <c r="P126" s="107"/>
      <c r="Q126" s="22"/>
      <c r="W126" s="927"/>
      <c r="X126" s="13"/>
      <c r="Y126" s="1"/>
      <c r="Z126" s="928"/>
      <c r="AB126" s="929"/>
    </row>
    <row r="127" spans="2:28" ht="11.25" customHeight="1">
      <c r="B127" s="3"/>
      <c r="C127" s="13"/>
      <c r="D127" s="925"/>
      <c r="E127" s="151"/>
      <c r="F127" s="151"/>
      <c r="G127" s="151"/>
      <c r="H127" s="151"/>
      <c r="I127" s="151"/>
      <c r="J127" s="151"/>
      <c r="K127" s="944"/>
      <c r="L127" s="151"/>
      <c r="M127" s="151"/>
      <c r="N127" s="151"/>
      <c r="O127" s="932"/>
      <c r="P127" s="107"/>
      <c r="Q127" s="22"/>
      <c r="W127" s="945"/>
      <c r="X127" s="13"/>
      <c r="Y127" s="946"/>
      <c r="Z127" s="928"/>
      <c r="AB127" s="929"/>
    </row>
    <row r="128" spans="2:28">
      <c r="B128" s="94"/>
      <c r="D128" s="94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U129" s="13"/>
    </row>
    <row r="130" spans="2:28">
      <c r="C130" s="13"/>
      <c r="D130" s="9"/>
      <c r="E130" s="850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U130" s="13"/>
    </row>
    <row r="131" spans="2:28">
      <c r="C131" s="22"/>
      <c r="D131" s="22"/>
      <c r="E131" s="14"/>
      <c r="F131" s="14"/>
      <c r="G131" s="14"/>
      <c r="H131" s="14"/>
      <c r="K131" s="14"/>
      <c r="L131" s="48"/>
      <c r="M131" s="13"/>
      <c r="N131" s="13"/>
      <c r="O131" s="9"/>
      <c r="P131" s="9"/>
      <c r="Q131" s="22"/>
      <c r="R131" s="22"/>
      <c r="T131" s="22"/>
      <c r="U131" s="13"/>
      <c r="AB131" s="92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U132" s="13"/>
      <c r="Z132" s="150"/>
      <c r="AB132" s="92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U133" s="13"/>
      <c r="Z133" s="150"/>
      <c r="AB133" s="92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U134" s="13"/>
      <c r="W134" s="345"/>
      <c r="X134" s="22"/>
      <c r="Y134" s="3"/>
      <c r="Z134" s="924"/>
      <c r="AB134" s="923"/>
    </row>
    <row r="135" spans="2:28">
      <c r="B135" s="3"/>
      <c r="C135" s="13"/>
      <c r="D135" s="925"/>
      <c r="E135" s="926"/>
      <c r="F135" s="926"/>
      <c r="G135" s="926"/>
      <c r="H135" s="926"/>
      <c r="I135" s="926"/>
      <c r="J135" s="926"/>
      <c r="K135" s="926"/>
      <c r="L135" s="926"/>
      <c r="M135" s="926"/>
      <c r="N135" s="926"/>
      <c r="O135" s="925"/>
      <c r="P135" s="22"/>
      <c r="Q135" s="22"/>
      <c r="S135" s="64"/>
      <c r="W135" s="927"/>
      <c r="X135" s="13"/>
      <c r="Y135" s="1"/>
      <c r="Z135" s="928"/>
      <c r="AB135" s="929"/>
    </row>
    <row r="136" spans="2:28">
      <c r="B136" s="3"/>
      <c r="C136" s="13"/>
      <c r="D136" s="925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30"/>
      <c r="P136" s="107"/>
      <c r="Q136" s="22"/>
      <c r="W136" s="927"/>
      <c r="X136" s="13"/>
      <c r="Y136" s="1"/>
      <c r="Z136" s="928"/>
      <c r="AB136" s="929"/>
    </row>
    <row r="137" spans="2:28">
      <c r="B137" s="3"/>
      <c r="C137" s="13"/>
      <c r="D137" s="925"/>
      <c r="E137" s="926"/>
      <c r="F137" s="926"/>
      <c r="G137" s="926"/>
      <c r="H137" s="940"/>
      <c r="I137" s="926"/>
      <c r="J137" s="926"/>
      <c r="K137" s="940"/>
      <c r="L137" s="926"/>
      <c r="M137" s="926"/>
      <c r="N137" s="926"/>
      <c r="O137" s="925"/>
      <c r="P137" s="107"/>
      <c r="Q137" s="22"/>
      <c r="W137" s="927"/>
      <c r="X137" s="13"/>
      <c r="Y137" s="1"/>
      <c r="Z137" s="928"/>
      <c r="AB137" s="931"/>
    </row>
    <row r="138" spans="2:28">
      <c r="B138" s="3"/>
      <c r="C138" s="13"/>
      <c r="D138" s="925"/>
      <c r="E138" s="926"/>
      <c r="F138" s="926"/>
      <c r="G138" s="926"/>
      <c r="H138" s="926"/>
      <c r="I138" s="926"/>
      <c r="J138" s="926"/>
      <c r="K138" s="926"/>
      <c r="L138" s="926"/>
      <c r="M138" s="926"/>
      <c r="N138" s="940"/>
      <c r="O138" s="932"/>
      <c r="P138" s="107"/>
      <c r="Q138" s="22"/>
      <c r="W138" s="927"/>
      <c r="X138" s="13"/>
      <c r="Y138" s="1"/>
      <c r="Z138" s="928"/>
      <c r="AB138" s="929"/>
    </row>
    <row r="139" spans="2:28">
      <c r="B139" s="3"/>
      <c r="C139" s="13"/>
      <c r="D139" s="925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5"/>
      <c r="P139" s="107"/>
      <c r="Q139" s="22"/>
      <c r="W139" s="927"/>
      <c r="X139" s="13"/>
      <c r="Y139" s="1"/>
      <c r="Z139" s="928"/>
      <c r="AB139" s="933"/>
    </row>
    <row r="140" spans="2:28">
      <c r="B140" s="3"/>
      <c r="C140" s="13"/>
      <c r="D140" s="925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5"/>
      <c r="P140" s="107"/>
      <c r="Q140" s="22"/>
      <c r="W140" s="927"/>
      <c r="X140" s="13"/>
      <c r="Y140" s="1"/>
      <c r="Z140" s="928"/>
      <c r="AB140" s="931"/>
    </row>
    <row r="141" spans="2:28">
      <c r="B141" s="3"/>
      <c r="C141" s="13"/>
      <c r="D141" s="925"/>
      <c r="E141" s="926"/>
      <c r="F141" s="926"/>
      <c r="G141" s="9"/>
      <c r="H141" s="935"/>
      <c r="I141" s="940"/>
      <c r="J141" s="926"/>
      <c r="K141" s="926"/>
      <c r="L141" s="926"/>
      <c r="M141" s="926"/>
      <c r="N141" s="926"/>
      <c r="O141" s="934"/>
      <c r="P141" s="107"/>
      <c r="Q141" s="22"/>
      <c r="W141" s="927"/>
      <c r="X141" s="13"/>
      <c r="Y141" s="1"/>
      <c r="Z141" s="928"/>
      <c r="AB141" s="933"/>
    </row>
    <row r="142" spans="2:28">
      <c r="B142" s="3"/>
      <c r="C142" s="13"/>
      <c r="D142" s="925"/>
      <c r="E142" s="689"/>
      <c r="F142" s="926"/>
      <c r="G142" s="926"/>
      <c r="H142" s="926"/>
      <c r="I142" s="926"/>
      <c r="J142" s="926"/>
      <c r="K142" s="926"/>
      <c r="L142" s="926"/>
      <c r="M142" s="926"/>
      <c r="N142" s="926"/>
      <c r="O142" s="925"/>
      <c r="P142" s="107"/>
      <c r="Q142" s="22"/>
      <c r="W142" s="927"/>
      <c r="X142" s="13"/>
      <c r="Y142" s="1"/>
      <c r="Z142" s="928"/>
      <c r="AB142" s="929"/>
    </row>
    <row r="143" spans="2:28">
      <c r="B143" s="3"/>
      <c r="C143" s="13"/>
      <c r="D143" s="925"/>
      <c r="E143" s="689"/>
      <c r="F143" s="926"/>
      <c r="G143" s="926"/>
      <c r="H143" s="926"/>
      <c r="I143" s="926"/>
      <c r="J143" s="926"/>
      <c r="K143" s="926"/>
      <c r="L143" s="926"/>
      <c r="M143" s="926"/>
      <c r="N143" s="926"/>
      <c r="O143" s="925"/>
      <c r="P143" s="107"/>
      <c r="Q143" s="22"/>
      <c r="W143" s="927"/>
      <c r="X143" s="13"/>
      <c r="Y143" s="1"/>
      <c r="Z143" s="928"/>
      <c r="AB143" s="929"/>
    </row>
    <row r="144" spans="2:28">
      <c r="B144" s="3"/>
      <c r="C144" s="13"/>
      <c r="D144" s="925"/>
      <c r="E144" s="689"/>
      <c r="F144" s="926"/>
      <c r="G144" s="926"/>
      <c r="H144" s="926"/>
      <c r="I144" s="926"/>
      <c r="J144" s="926"/>
      <c r="K144" s="926"/>
      <c r="L144" s="926"/>
      <c r="M144" s="926"/>
      <c r="N144" s="926"/>
      <c r="O144" s="925"/>
      <c r="P144" s="107"/>
      <c r="Q144" s="22"/>
      <c r="W144" s="927"/>
      <c r="X144" s="13"/>
      <c r="Y144" s="1"/>
      <c r="Z144" s="928"/>
      <c r="AB144" s="929"/>
    </row>
    <row r="145" spans="2:28">
      <c r="B145" s="3"/>
      <c r="C145" s="13"/>
      <c r="D145" s="925"/>
      <c r="E145" s="689"/>
      <c r="F145" s="926"/>
      <c r="G145" s="926"/>
      <c r="H145" s="926"/>
      <c r="I145" s="926"/>
      <c r="J145" s="926"/>
      <c r="K145" s="926"/>
      <c r="L145" s="926"/>
      <c r="M145" s="926"/>
      <c r="N145" s="926"/>
      <c r="O145" s="925"/>
      <c r="P145" s="107"/>
      <c r="Q145" s="22"/>
      <c r="W145" s="927"/>
      <c r="X145" s="13"/>
      <c r="Y145" s="1"/>
      <c r="Z145" s="928"/>
      <c r="AB145" s="929"/>
    </row>
    <row r="146" spans="2:28">
      <c r="B146" s="3"/>
      <c r="C146" s="13"/>
      <c r="D146" s="925"/>
      <c r="E146" s="689"/>
      <c r="F146" s="926"/>
      <c r="G146" s="926"/>
      <c r="H146" s="926"/>
      <c r="I146" s="926"/>
      <c r="J146" s="926"/>
      <c r="K146" s="926"/>
      <c r="L146" s="926"/>
      <c r="M146" s="926"/>
      <c r="N146" s="926"/>
      <c r="O146" s="925"/>
      <c r="P146" s="107"/>
      <c r="Q146" s="22"/>
      <c r="W146" s="927"/>
      <c r="X146" s="13"/>
      <c r="Y146" s="1"/>
      <c r="Z146" s="928"/>
      <c r="AB146" s="929"/>
    </row>
    <row r="147" spans="2:28">
      <c r="B147" s="3"/>
      <c r="C147" s="13"/>
      <c r="D147" s="925"/>
      <c r="E147" s="689"/>
      <c r="F147" s="926"/>
      <c r="G147" s="926"/>
      <c r="H147" s="926"/>
      <c r="I147" s="926"/>
      <c r="J147" s="926"/>
      <c r="K147" s="926"/>
      <c r="L147" s="926"/>
      <c r="M147" s="926"/>
      <c r="N147" s="926"/>
      <c r="O147" s="925"/>
      <c r="P147" s="107"/>
      <c r="Q147" s="22"/>
      <c r="W147" s="927"/>
      <c r="X147" s="13"/>
      <c r="Y147" s="1"/>
      <c r="Z147" s="928"/>
      <c r="AB147" s="929"/>
    </row>
    <row r="148" spans="2:28" ht="13.5" customHeight="1">
      <c r="B148" s="3"/>
      <c r="C148" s="13"/>
      <c r="D148" s="925"/>
      <c r="E148" s="689"/>
      <c r="F148" s="926"/>
      <c r="G148" s="926"/>
      <c r="H148" s="926"/>
      <c r="I148" s="926"/>
      <c r="J148" s="926"/>
      <c r="K148" s="926"/>
      <c r="L148" s="926"/>
      <c r="M148" s="926"/>
      <c r="N148" s="926"/>
      <c r="O148" s="925"/>
      <c r="P148" s="107"/>
      <c r="Q148" s="22"/>
      <c r="W148" s="927"/>
      <c r="X148" s="13"/>
      <c r="Y148" s="1"/>
      <c r="Z148" s="928"/>
      <c r="AB148" s="929"/>
    </row>
    <row r="149" spans="2:28">
      <c r="B149" s="3"/>
      <c r="C149" s="13"/>
      <c r="D149" s="925"/>
      <c r="E149" s="689"/>
      <c r="F149" s="926"/>
      <c r="G149" s="926"/>
      <c r="H149" s="926"/>
      <c r="I149" s="926"/>
      <c r="J149" s="926"/>
      <c r="K149" s="926"/>
      <c r="L149" s="926"/>
      <c r="M149" s="926"/>
      <c r="N149" s="926"/>
      <c r="O149" s="925"/>
      <c r="P149" s="107"/>
      <c r="Q149" s="22"/>
      <c r="W149" s="927"/>
      <c r="X149" s="13"/>
      <c r="Y149" s="1"/>
      <c r="Z149" s="928"/>
      <c r="AB149" s="931"/>
    </row>
    <row r="150" spans="2:28" ht="12.75" customHeight="1">
      <c r="B150" s="3"/>
      <c r="C150" s="13"/>
      <c r="D150" s="925"/>
      <c r="E150" s="689"/>
      <c r="F150" s="935"/>
      <c r="G150" s="936"/>
      <c r="H150" s="926"/>
      <c r="I150" s="926"/>
      <c r="J150" s="926"/>
      <c r="K150" s="926"/>
      <c r="L150" s="935"/>
      <c r="M150" s="935"/>
      <c r="N150" s="926"/>
      <c r="O150" s="930"/>
      <c r="P150" s="107"/>
      <c r="Q150" s="22"/>
      <c r="W150" s="927"/>
      <c r="X150" s="13"/>
      <c r="Y150" s="1"/>
      <c r="Z150" s="928"/>
      <c r="AB150" s="937"/>
    </row>
    <row r="151" spans="2:28">
      <c r="B151" s="3"/>
      <c r="C151" s="13"/>
      <c r="D151" s="925"/>
      <c r="E151" s="689"/>
      <c r="F151" s="935"/>
      <c r="G151" s="936"/>
      <c r="H151" s="926"/>
      <c r="I151" s="926"/>
      <c r="J151" s="926"/>
      <c r="K151" s="926"/>
      <c r="L151" s="935"/>
      <c r="M151" s="935"/>
      <c r="N151" s="926"/>
      <c r="O151" s="925"/>
      <c r="P151" s="107"/>
      <c r="Q151" s="22"/>
      <c r="W151" s="927"/>
      <c r="X151" s="13"/>
      <c r="Y151" s="1"/>
      <c r="Z151" s="928"/>
      <c r="AB151" s="929"/>
    </row>
    <row r="152" spans="2:28" ht="12.75" customHeight="1">
      <c r="B152" s="3"/>
      <c r="C152" s="13"/>
      <c r="D152" s="925"/>
      <c r="E152" s="689"/>
      <c r="F152" s="935"/>
      <c r="G152" s="936"/>
      <c r="H152" s="926"/>
      <c r="I152" s="926"/>
      <c r="J152" s="926"/>
      <c r="K152" s="926"/>
      <c r="L152" s="935"/>
      <c r="M152" s="935"/>
      <c r="N152" s="926"/>
      <c r="O152" s="925"/>
      <c r="P152" s="107"/>
      <c r="Q152" s="22"/>
      <c r="W152" s="927"/>
      <c r="X152" s="13"/>
      <c r="Y152" s="1"/>
      <c r="Z152" s="928"/>
      <c r="AB152" s="929"/>
    </row>
    <row r="153" spans="2:28">
      <c r="B153" s="3"/>
      <c r="C153" s="13"/>
      <c r="D153" s="925"/>
      <c r="E153" s="949"/>
      <c r="F153" s="935"/>
      <c r="G153" s="936"/>
      <c r="H153" s="926"/>
      <c r="I153" s="947"/>
      <c r="J153" s="926"/>
      <c r="K153" s="947"/>
      <c r="L153" s="940"/>
      <c r="M153" s="940"/>
      <c r="N153" s="926"/>
      <c r="O153" s="925"/>
      <c r="P153" s="107"/>
      <c r="Q153" s="22"/>
      <c r="W153" s="927"/>
      <c r="X153" s="13"/>
      <c r="Y153" s="1"/>
      <c r="Z153" s="928"/>
      <c r="AB153" s="933"/>
    </row>
    <row r="154" spans="2:28">
      <c r="B154" s="3"/>
      <c r="C154" s="13"/>
      <c r="D154" s="925"/>
      <c r="E154" s="689"/>
      <c r="F154" s="940"/>
      <c r="G154" s="936"/>
      <c r="H154" s="926"/>
      <c r="I154" s="926"/>
      <c r="J154" s="926"/>
      <c r="K154" s="926"/>
      <c r="L154" s="940"/>
      <c r="M154" s="940"/>
      <c r="N154" s="926"/>
      <c r="O154" s="925"/>
      <c r="P154" s="107"/>
      <c r="Q154" s="22"/>
      <c r="W154" s="927"/>
      <c r="X154" s="13"/>
      <c r="Y154" s="1"/>
      <c r="Z154" s="928"/>
      <c r="AB154" s="929"/>
    </row>
    <row r="155" spans="2:28">
      <c r="B155" s="3"/>
      <c r="C155" s="13"/>
      <c r="D155" s="925"/>
      <c r="E155" s="689"/>
      <c r="F155" s="935"/>
      <c r="G155" s="936"/>
      <c r="H155" s="926"/>
      <c r="I155" s="926"/>
      <c r="J155" s="926"/>
      <c r="K155" s="926"/>
      <c r="L155" s="940"/>
      <c r="M155" s="935"/>
      <c r="N155" s="926"/>
      <c r="O155" s="925"/>
      <c r="P155" s="107"/>
      <c r="Q155" s="22"/>
      <c r="W155" s="927"/>
      <c r="X155" s="13"/>
      <c r="Y155" s="1"/>
      <c r="Z155" s="928"/>
      <c r="AB155" s="929"/>
    </row>
    <row r="156" spans="2:28">
      <c r="B156" s="3"/>
      <c r="C156" s="13"/>
      <c r="D156" s="925"/>
      <c r="E156" s="689"/>
      <c r="F156" s="940"/>
      <c r="G156" s="936"/>
      <c r="H156" s="926"/>
      <c r="I156" s="926"/>
      <c r="J156" s="926"/>
      <c r="K156" s="926"/>
      <c r="L156" s="936"/>
      <c r="M156" s="936"/>
      <c r="N156" s="9"/>
      <c r="O156" s="925"/>
      <c r="P156" s="107"/>
      <c r="Q156" s="22"/>
      <c r="W156" s="927"/>
      <c r="X156" s="13"/>
      <c r="Y156" s="1"/>
      <c r="Z156" s="928"/>
      <c r="AB156" s="929"/>
    </row>
    <row r="157" spans="2:28">
      <c r="B157" s="3"/>
      <c r="C157" s="13"/>
      <c r="D157" s="925"/>
      <c r="E157" s="689"/>
      <c r="F157" s="940"/>
      <c r="G157" s="940"/>
      <c r="H157" s="926"/>
      <c r="I157" s="926"/>
      <c r="J157" s="926"/>
      <c r="K157" s="935"/>
      <c r="L157" s="947"/>
      <c r="M157" s="940"/>
      <c r="N157" s="936"/>
      <c r="O157" s="925"/>
      <c r="P157" s="107"/>
      <c r="Q157" s="22"/>
      <c r="W157" s="927"/>
      <c r="X157" s="13"/>
      <c r="Y157" s="1"/>
      <c r="Z157" s="928"/>
      <c r="AB157" s="929"/>
    </row>
    <row r="158" spans="2:28" ht="10.5" customHeight="1">
      <c r="B158" s="3"/>
      <c r="C158" s="13"/>
      <c r="D158" s="925"/>
      <c r="E158" s="689"/>
      <c r="F158" s="935"/>
      <c r="G158" s="936"/>
      <c r="H158" s="926"/>
      <c r="I158" s="926"/>
      <c r="J158" s="926"/>
      <c r="K158" s="926"/>
      <c r="L158" s="935"/>
      <c r="M158" s="935"/>
      <c r="N158" s="926"/>
      <c r="O158" s="925"/>
      <c r="P158" s="107"/>
      <c r="Q158" s="22"/>
      <c r="W158" s="927"/>
      <c r="X158" s="13"/>
      <c r="Y158" s="1"/>
      <c r="Z158" s="928"/>
      <c r="AB158" s="929"/>
    </row>
    <row r="159" spans="2:28" ht="12.75" customHeight="1">
      <c r="B159" s="3"/>
      <c r="C159" s="13"/>
      <c r="D159" s="925"/>
      <c r="E159" s="689"/>
      <c r="F159" s="940"/>
      <c r="G159" s="936"/>
      <c r="H159" s="926"/>
      <c r="I159" s="926"/>
      <c r="J159" s="926"/>
      <c r="K159" s="926"/>
      <c r="L159" s="936"/>
      <c r="M159" s="936"/>
      <c r="N159" s="926"/>
      <c r="O159" s="925"/>
      <c r="P159" s="938"/>
      <c r="Q159" s="22"/>
      <c r="W159" s="927"/>
      <c r="X159" s="13"/>
      <c r="Y159" s="1"/>
      <c r="Z159" s="928"/>
      <c r="AB159" s="939"/>
    </row>
    <row r="160" spans="2:28">
      <c r="B160" s="3"/>
      <c r="C160" s="13"/>
      <c r="D160" s="925"/>
      <c r="E160" s="689"/>
      <c r="F160" s="935"/>
      <c r="G160" s="936"/>
      <c r="H160" s="926"/>
      <c r="I160" s="926"/>
      <c r="J160" s="926"/>
      <c r="K160" s="926"/>
      <c r="L160" s="936"/>
      <c r="M160" s="936"/>
      <c r="N160" s="926"/>
      <c r="O160" s="925"/>
      <c r="P160" s="107"/>
      <c r="Q160" s="22"/>
      <c r="W160" s="927"/>
      <c r="X160" s="13"/>
      <c r="Y160" s="1"/>
      <c r="Z160" s="928"/>
      <c r="AB160" s="929"/>
    </row>
    <row r="161" spans="2:28" ht="12.75" customHeight="1">
      <c r="B161" s="3"/>
      <c r="C161" s="13"/>
      <c r="D161" s="925"/>
      <c r="E161" s="689"/>
      <c r="F161" s="936"/>
      <c r="G161" s="940"/>
      <c r="H161" s="926"/>
      <c r="I161" s="926"/>
      <c r="J161" s="926"/>
      <c r="K161" s="926"/>
      <c r="L161" s="947"/>
      <c r="M161" s="940"/>
      <c r="N161" s="926"/>
      <c r="O161" s="925"/>
      <c r="P161" s="938"/>
      <c r="Q161" s="22"/>
      <c r="W161" s="927"/>
      <c r="X161" s="13"/>
      <c r="Y161" s="1"/>
      <c r="Z161" s="928"/>
      <c r="AB161" s="939"/>
    </row>
    <row r="162" spans="2:28" hidden="1">
      <c r="B162" s="3"/>
      <c r="C162" s="13"/>
      <c r="D162" s="925"/>
      <c r="E162" s="689"/>
      <c r="F162" s="940"/>
      <c r="G162" s="936"/>
      <c r="H162" s="926"/>
      <c r="I162" s="926"/>
      <c r="J162" s="926"/>
      <c r="K162" s="926"/>
      <c r="L162" s="935"/>
      <c r="M162" s="935"/>
      <c r="N162" s="926"/>
      <c r="O162" s="925"/>
      <c r="P162" s="107"/>
      <c r="Q162" s="22"/>
      <c r="W162" s="927"/>
      <c r="X162" s="13"/>
      <c r="Y162" s="1"/>
      <c r="Z162" s="928"/>
      <c r="AB162" s="933"/>
    </row>
    <row r="163" spans="2:28" ht="13.5" customHeight="1">
      <c r="B163" s="3"/>
      <c r="C163" s="4"/>
      <c r="D163" s="925"/>
      <c r="E163" s="689"/>
      <c r="F163" s="936"/>
      <c r="G163" s="936"/>
      <c r="H163" s="926"/>
      <c r="I163" s="926"/>
      <c r="J163" s="926"/>
      <c r="K163" s="926"/>
      <c r="L163" s="940"/>
      <c r="M163" s="940"/>
      <c r="N163" s="926"/>
      <c r="O163" s="925"/>
      <c r="P163" s="107"/>
      <c r="Q163" s="22"/>
      <c r="W163" s="927"/>
      <c r="X163" s="13"/>
      <c r="Y163" s="1"/>
      <c r="Z163" s="928"/>
      <c r="AB163" s="929"/>
    </row>
    <row r="164" spans="2:28" ht="12.75" customHeight="1">
      <c r="B164" s="3"/>
      <c r="C164" s="13"/>
      <c r="D164" s="925"/>
      <c r="E164" s="689"/>
      <c r="F164" s="935"/>
      <c r="G164" s="936"/>
      <c r="H164" s="947"/>
      <c r="I164" s="926"/>
      <c r="J164" s="926"/>
      <c r="K164" s="926"/>
      <c r="L164" s="935"/>
      <c r="M164" s="936"/>
      <c r="N164" s="926"/>
      <c r="O164" s="930"/>
      <c r="P164" s="938"/>
      <c r="Q164" s="22"/>
      <c r="W164" s="927"/>
      <c r="X164" s="13"/>
      <c r="Y164" s="1"/>
      <c r="Z164" s="928"/>
      <c r="AB164" s="939"/>
    </row>
    <row r="165" spans="2:28" ht="12.75" customHeight="1">
      <c r="B165" s="3"/>
      <c r="C165" s="13"/>
      <c r="D165" s="925"/>
      <c r="E165" s="689"/>
      <c r="F165" s="947"/>
      <c r="G165" s="947"/>
      <c r="H165" s="926"/>
      <c r="I165" s="926"/>
      <c r="J165" s="926"/>
      <c r="K165" s="926"/>
      <c r="L165" s="948"/>
      <c r="M165" s="947"/>
      <c r="N165" s="926"/>
      <c r="O165" s="930"/>
      <c r="P165" s="107"/>
      <c r="Q165" s="22"/>
      <c r="W165" s="927"/>
      <c r="X165" s="13"/>
      <c r="Y165" s="1"/>
      <c r="Z165" s="928"/>
      <c r="AB165" s="942"/>
    </row>
    <row r="166" spans="2:28" ht="12.75" customHeight="1">
      <c r="B166" s="3"/>
      <c r="C166" s="13"/>
      <c r="D166" s="925"/>
      <c r="E166" s="943"/>
      <c r="F166" s="151"/>
      <c r="G166" s="151"/>
      <c r="H166" s="151"/>
      <c r="I166" s="151"/>
      <c r="J166" s="151"/>
      <c r="K166" s="151"/>
      <c r="L166" s="151"/>
      <c r="M166" s="151"/>
      <c r="N166" s="151"/>
      <c r="O166" s="930"/>
      <c r="P166" s="107"/>
      <c r="Q166" s="22"/>
      <c r="W166" s="927"/>
      <c r="X166" s="13"/>
      <c r="Y166" s="1"/>
      <c r="Z166" s="928"/>
      <c r="AB166" s="929"/>
    </row>
    <row r="167" spans="2:28" ht="12.75" customHeight="1">
      <c r="B167" s="3"/>
      <c r="C167" s="13"/>
      <c r="D167" s="925"/>
      <c r="E167" s="943"/>
      <c r="F167" s="151"/>
      <c r="G167" s="151"/>
      <c r="H167" s="151"/>
      <c r="I167" s="151"/>
      <c r="J167" s="151"/>
      <c r="K167" s="151"/>
      <c r="L167" s="151"/>
      <c r="M167" s="151"/>
      <c r="N167" s="151"/>
      <c r="O167" s="930"/>
      <c r="P167" s="107"/>
      <c r="Q167" s="22"/>
      <c r="W167" s="927"/>
      <c r="X167" s="13"/>
      <c r="Y167" s="1"/>
      <c r="Z167" s="928"/>
      <c r="AB167" s="929"/>
    </row>
    <row r="168" spans="2:28" ht="11.25" customHeight="1">
      <c r="B168" s="3"/>
      <c r="C168" s="13"/>
      <c r="D168" s="925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930"/>
      <c r="P168" s="107"/>
      <c r="Q168" s="22"/>
      <c r="W168" s="927"/>
      <c r="X168" s="13"/>
      <c r="Y168" s="1"/>
      <c r="Z168" s="928"/>
      <c r="AB168" s="929"/>
    </row>
    <row r="169" spans="2:28" ht="12.75" customHeight="1">
      <c r="B169" s="3"/>
      <c r="C169" s="13"/>
      <c r="D169" s="925"/>
      <c r="E169" s="151"/>
      <c r="F169" s="151"/>
      <c r="G169" s="151"/>
      <c r="H169" s="151"/>
      <c r="I169" s="151"/>
      <c r="J169" s="151"/>
      <c r="K169" s="944"/>
      <c r="L169" s="151"/>
      <c r="M169" s="151"/>
      <c r="N169" s="151"/>
      <c r="O169" s="932"/>
      <c r="P169" s="107"/>
      <c r="Q169" s="22"/>
      <c r="W169" s="945"/>
      <c r="X169" s="13"/>
      <c r="Y169" s="946"/>
      <c r="Z169" s="928"/>
      <c r="AB169" s="929"/>
    </row>
    <row r="170" spans="2:28" ht="11.25" customHeight="1"/>
    <row r="171" spans="2:28" ht="12.75" customHeight="1">
      <c r="B171" s="94"/>
      <c r="D171" s="94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U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U173" s="13"/>
    </row>
    <row r="174" spans="2:28">
      <c r="C174" s="22"/>
      <c r="D174" s="22"/>
      <c r="E174" s="14"/>
      <c r="F174" s="14"/>
      <c r="G174" s="14"/>
      <c r="H174" s="14"/>
      <c r="K174" s="14"/>
      <c r="L174" s="48"/>
      <c r="M174" s="13"/>
      <c r="N174" s="13"/>
      <c r="O174" s="9"/>
      <c r="P174" s="9"/>
      <c r="Q174" s="22"/>
      <c r="R174" s="22"/>
      <c r="T174" s="22"/>
      <c r="U174" s="13"/>
      <c r="AB174" s="92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U175" s="13"/>
      <c r="Z175" s="150"/>
      <c r="AB175" s="92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U176" s="13"/>
      <c r="Z176" s="150"/>
      <c r="AB176" s="92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45"/>
      <c r="X177" s="22"/>
      <c r="Y177" s="3"/>
      <c r="Z177" s="924"/>
      <c r="AB177" s="923"/>
    </row>
    <row r="178" spans="2:28">
      <c r="B178" s="3"/>
      <c r="C178" s="13"/>
      <c r="D178" s="925"/>
      <c r="E178" s="940"/>
      <c r="F178" s="926"/>
      <c r="G178" s="926"/>
      <c r="H178" s="926"/>
      <c r="I178" s="926"/>
      <c r="J178" s="926"/>
      <c r="K178" s="926"/>
      <c r="L178" s="926"/>
      <c r="M178" s="926"/>
      <c r="N178" s="926"/>
      <c r="O178" s="925"/>
      <c r="P178" s="22"/>
      <c r="Q178" s="22"/>
      <c r="S178" s="64"/>
      <c r="W178" s="927"/>
      <c r="X178" s="13"/>
      <c r="Y178" s="1"/>
      <c r="Z178" s="928"/>
      <c r="AB178" s="929"/>
    </row>
    <row r="179" spans="2:28">
      <c r="B179" s="3"/>
      <c r="C179" s="13"/>
      <c r="D179" s="925"/>
      <c r="E179" s="940"/>
      <c r="F179" s="926"/>
      <c r="G179" s="926"/>
      <c r="H179" s="926"/>
      <c r="I179" s="926"/>
      <c r="J179" s="926"/>
      <c r="K179" s="926"/>
      <c r="L179" s="926"/>
      <c r="M179" s="926"/>
      <c r="N179" s="926"/>
      <c r="O179" s="930"/>
      <c r="P179" s="107"/>
      <c r="Q179" s="22"/>
      <c r="W179" s="927"/>
      <c r="X179" s="13"/>
      <c r="Y179" s="1"/>
      <c r="Z179" s="928"/>
      <c r="AB179" s="929"/>
    </row>
    <row r="180" spans="2:28" ht="12" customHeight="1">
      <c r="B180" s="3"/>
      <c r="C180" s="13"/>
      <c r="D180" s="925"/>
      <c r="E180" s="940"/>
      <c r="F180" s="926"/>
      <c r="G180" s="926"/>
      <c r="H180" s="940"/>
      <c r="I180" s="926"/>
      <c r="J180" s="926"/>
      <c r="K180" s="940"/>
      <c r="L180" s="926"/>
      <c r="M180" s="926"/>
      <c r="N180" s="926"/>
      <c r="O180" s="925"/>
      <c r="P180" s="107"/>
      <c r="Q180" s="22"/>
      <c r="W180" s="927"/>
      <c r="X180" s="13"/>
      <c r="Y180" s="1"/>
      <c r="Z180" s="928"/>
      <c r="AB180" s="931"/>
    </row>
    <row r="181" spans="2:28">
      <c r="B181" s="3"/>
      <c r="C181" s="13"/>
      <c r="D181" s="925"/>
      <c r="E181" s="940"/>
      <c r="F181" s="926"/>
      <c r="G181" s="926"/>
      <c r="H181" s="926"/>
      <c r="I181" s="926"/>
      <c r="J181" s="926"/>
      <c r="K181" s="926"/>
      <c r="L181" s="926"/>
      <c r="M181" s="926"/>
      <c r="N181" s="940"/>
      <c r="O181" s="932"/>
      <c r="P181" s="107"/>
      <c r="Q181" s="22"/>
      <c r="W181" s="927"/>
      <c r="X181" s="13"/>
      <c r="Y181" s="1"/>
      <c r="Z181" s="928"/>
      <c r="AB181" s="929"/>
    </row>
    <row r="182" spans="2:28" ht="12.75" customHeight="1">
      <c r="B182" s="3"/>
      <c r="C182" s="13"/>
      <c r="D182" s="925"/>
      <c r="E182" s="940"/>
      <c r="F182" s="926"/>
      <c r="G182" s="926"/>
      <c r="H182" s="926"/>
      <c r="I182" s="926"/>
      <c r="J182" s="926"/>
      <c r="K182" s="926"/>
      <c r="L182" s="926"/>
      <c r="M182" s="926"/>
      <c r="N182" s="926"/>
      <c r="O182" s="925"/>
      <c r="P182" s="107"/>
      <c r="Q182" s="22"/>
      <c r="W182" s="927"/>
      <c r="X182" s="13"/>
      <c r="Y182" s="1"/>
      <c r="Z182" s="928"/>
      <c r="AB182" s="933"/>
    </row>
    <row r="183" spans="2:28">
      <c r="B183" s="3"/>
      <c r="C183" s="13"/>
      <c r="D183" s="925"/>
      <c r="E183" s="940"/>
      <c r="F183" s="926"/>
      <c r="G183" s="926"/>
      <c r="H183" s="926"/>
      <c r="I183" s="926"/>
      <c r="J183" s="926"/>
      <c r="K183" s="926"/>
      <c r="L183" s="926"/>
      <c r="M183" s="926"/>
      <c r="N183" s="926"/>
      <c r="O183" s="925"/>
      <c r="P183" s="107"/>
      <c r="Q183" s="22"/>
      <c r="W183" s="927"/>
      <c r="X183" s="13"/>
      <c r="Y183" s="1"/>
      <c r="Z183" s="928"/>
      <c r="AB183" s="931"/>
    </row>
    <row r="184" spans="2:28" ht="15" customHeight="1">
      <c r="B184" s="3"/>
      <c r="C184" s="13"/>
      <c r="D184" s="925"/>
      <c r="E184" s="940"/>
      <c r="F184" s="926"/>
      <c r="G184" s="9"/>
      <c r="H184" s="935"/>
      <c r="I184" s="940"/>
      <c r="J184" s="926"/>
      <c r="K184" s="926"/>
      <c r="L184" s="926"/>
      <c r="M184" s="926"/>
      <c r="N184" s="926"/>
      <c r="O184" s="934"/>
      <c r="P184" s="107"/>
      <c r="Q184" s="22"/>
      <c r="W184" s="927"/>
      <c r="X184" s="13"/>
      <c r="Y184" s="1"/>
      <c r="Z184" s="928"/>
      <c r="AB184" s="933"/>
    </row>
    <row r="185" spans="2:28">
      <c r="B185" s="3"/>
      <c r="C185" s="13"/>
      <c r="D185" s="925"/>
      <c r="E185" s="940"/>
      <c r="F185" s="926"/>
      <c r="G185" s="926"/>
      <c r="H185" s="926"/>
      <c r="I185" s="926"/>
      <c r="J185" s="926"/>
      <c r="K185" s="926"/>
      <c r="L185" s="926"/>
      <c r="M185" s="926"/>
      <c r="N185" s="926"/>
      <c r="O185" s="925"/>
      <c r="P185" s="107"/>
      <c r="Q185" s="22"/>
      <c r="W185" s="927"/>
      <c r="X185" s="13"/>
      <c r="Y185" s="1"/>
      <c r="Z185" s="928"/>
      <c r="AB185" s="929"/>
    </row>
    <row r="186" spans="2:28">
      <c r="B186" s="3"/>
      <c r="C186" s="13"/>
      <c r="D186" s="925"/>
      <c r="E186" s="940"/>
      <c r="F186" s="926"/>
      <c r="G186" s="926"/>
      <c r="H186" s="926"/>
      <c r="I186" s="926"/>
      <c r="J186" s="926"/>
      <c r="K186" s="926"/>
      <c r="L186" s="926"/>
      <c r="M186" s="926"/>
      <c r="N186" s="926"/>
      <c r="O186" s="925"/>
      <c r="P186" s="107"/>
      <c r="Q186" s="22"/>
      <c r="W186" s="927"/>
      <c r="X186" s="13"/>
      <c r="Y186" s="1"/>
      <c r="Z186" s="928"/>
      <c r="AB186" s="929"/>
    </row>
    <row r="187" spans="2:28">
      <c r="B187" s="3"/>
      <c r="C187" s="13"/>
      <c r="D187" s="925"/>
      <c r="E187" s="940"/>
      <c r="F187" s="926"/>
      <c r="G187" s="926"/>
      <c r="H187" s="926"/>
      <c r="I187" s="926"/>
      <c r="J187" s="926"/>
      <c r="K187" s="926"/>
      <c r="L187" s="926"/>
      <c r="M187" s="926"/>
      <c r="N187" s="926"/>
      <c r="O187" s="925"/>
      <c r="P187" s="107"/>
      <c r="Q187" s="22"/>
      <c r="W187" s="927"/>
      <c r="X187" s="13"/>
      <c r="Y187" s="1"/>
      <c r="Z187" s="928"/>
      <c r="AB187" s="929"/>
    </row>
    <row r="188" spans="2:28">
      <c r="B188" s="3"/>
      <c r="C188" s="13"/>
      <c r="D188" s="925"/>
      <c r="E188" s="940"/>
      <c r="F188" s="926"/>
      <c r="G188" s="926"/>
      <c r="H188" s="926"/>
      <c r="I188" s="926"/>
      <c r="J188" s="926"/>
      <c r="K188" s="926"/>
      <c r="L188" s="926"/>
      <c r="M188" s="926"/>
      <c r="N188" s="926"/>
      <c r="O188" s="925"/>
      <c r="P188" s="107"/>
      <c r="Q188" s="22"/>
      <c r="W188" s="927"/>
      <c r="X188" s="13"/>
      <c r="Y188" s="1"/>
      <c r="Z188" s="928"/>
      <c r="AB188" s="929"/>
    </row>
    <row r="189" spans="2:28">
      <c r="B189" s="3"/>
      <c r="C189" s="13"/>
      <c r="D189" s="925"/>
      <c r="E189" s="940"/>
      <c r="F189" s="926"/>
      <c r="G189" s="926"/>
      <c r="H189" s="926"/>
      <c r="I189" s="926"/>
      <c r="J189" s="926"/>
      <c r="K189" s="926"/>
      <c r="L189" s="926"/>
      <c r="M189" s="926"/>
      <c r="N189" s="926"/>
      <c r="O189" s="925"/>
      <c r="P189" s="107"/>
      <c r="Q189" s="22"/>
      <c r="W189" s="927"/>
      <c r="X189" s="13"/>
      <c r="Y189" s="1"/>
      <c r="Z189" s="928"/>
      <c r="AB189" s="929"/>
    </row>
    <row r="190" spans="2:28">
      <c r="B190" s="3"/>
      <c r="C190" s="13"/>
      <c r="D190" s="925"/>
      <c r="E190" s="940"/>
      <c r="F190" s="926"/>
      <c r="G190" s="926"/>
      <c r="H190" s="926"/>
      <c r="I190" s="926"/>
      <c r="J190" s="926"/>
      <c r="K190" s="926"/>
      <c r="L190" s="926"/>
      <c r="M190" s="926"/>
      <c r="N190" s="926"/>
      <c r="O190" s="925"/>
      <c r="P190" s="107"/>
      <c r="Q190" s="22"/>
      <c r="W190" s="927"/>
      <c r="X190" s="13"/>
      <c r="Y190" s="1"/>
      <c r="Z190" s="928"/>
      <c r="AB190" s="929"/>
    </row>
    <row r="191" spans="2:28">
      <c r="B191" s="3"/>
      <c r="C191" s="13"/>
      <c r="D191" s="925"/>
      <c r="E191" s="940"/>
      <c r="F191" s="926"/>
      <c r="G191" s="926"/>
      <c r="H191" s="926"/>
      <c r="I191" s="926"/>
      <c r="J191" s="926"/>
      <c r="K191" s="926"/>
      <c r="L191" s="926"/>
      <c r="M191" s="926"/>
      <c r="N191" s="926"/>
      <c r="O191" s="925"/>
      <c r="P191" s="107"/>
      <c r="Q191" s="22"/>
      <c r="W191" s="927"/>
      <c r="X191" s="13"/>
      <c r="Y191" s="1"/>
      <c r="Z191" s="928"/>
      <c r="AB191" s="929"/>
    </row>
    <row r="192" spans="2:28" ht="13.5" customHeight="1">
      <c r="B192" s="3"/>
      <c r="C192" s="13"/>
      <c r="D192" s="925"/>
      <c r="E192" s="940"/>
      <c r="F192" s="926"/>
      <c r="G192" s="926"/>
      <c r="H192" s="926"/>
      <c r="I192" s="926"/>
      <c r="J192" s="926"/>
      <c r="K192" s="926"/>
      <c r="L192" s="926"/>
      <c r="M192" s="926"/>
      <c r="N192" s="926"/>
      <c r="O192" s="925"/>
      <c r="P192" s="107"/>
      <c r="Q192" s="22"/>
      <c r="W192" s="927"/>
      <c r="X192" s="13"/>
      <c r="Y192" s="1"/>
      <c r="Z192" s="928"/>
      <c r="AB192" s="931"/>
    </row>
    <row r="193" spans="2:28" ht="12" customHeight="1">
      <c r="B193" s="3"/>
      <c r="C193" s="13"/>
      <c r="D193" s="925"/>
      <c r="E193" s="943"/>
      <c r="F193" s="935"/>
      <c r="G193" s="936"/>
      <c r="H193" s="926"/>
      <c r="I193" s="926"/>
      <c r="J193" s="926"/>
      <c r="K193" s="926"/>
      <c r="L193" s="935"/>
      <c r="M193" s="935"/>
      <c r="N193" s="926"/>
      <c r="O193" s="930"/>
      <c r="P193" s="107"/>
      <c r="Q193" s="22"/>
      <c r="W193" s="927"/>
      <c r="X193" s="13"/>
      <c r="Y193" s="1"/>
      <c r="Z193" s="928"/>
      <c r="AB193" s="937"/>
    </row>
    <row r="194" spans="2:28">
      <c r="B194" s="3"/>
      <c r="C194" s="13"/>
      <c r="D194" s="925"/>
      <c r="E194" s="943"/>
      <c r="F194" s="935"/>
      <c r="G194" s="936"/>
      <c r="H194" s="926"/>
      <c r="I194" s="926"/>
      <c r="J194" s="926"/>
      <c r="K194" s="926"/>
      <c r="L194" s="935"/>
      <c r="M194" s="935"/>
      <c r="N194" s="926"/>
      <c r="O194" s="925"/>
      <c r="P194" s="107"/>
      <c r="Q194" s="22"/>
      <c r="W194" s="927"/>
      <c r="X194" s="13"/>
      <c r="Y194" s="1"/>
      <c r="Z194" s="928"/>
      <c r="AB194" s="929"/>
    </row>
    <row r="195" spans="2:28" ht="13.5" customHeight="1">
      <c r="B195" s="3"/>
      <c r="C195" s="13"/>
      <c r="D195" s="925"/>
      <c r="E195" s="943"/>
      <c r="F195" s="935"/>
      <c r="G195" s="936"/>
      <c r="H195" s="926"/>
      <c r="I195" s="926"/>
      <c r="J195" s="926"/>
      <c r="K195" s="926"/>
      <c r="L195" s="935"/>
      <c r="M195" s="935"/>
      <c r="N195" s="926"/>
      <c r="O195" s="925"/>
      <c r="P195" s="107"/>
      <c r="Q195" s="22"/>
      <c r="W195" s="927"/>
      <c r="X195" s="13"/>
      <c r="Y195" s="1"/>
      <c r="Z195" s="928"/>
      <c r="AB195" s="929"/>
    </row>
    <row r="196" spans="2:28">
      <c r="B196" s="3"/>
      <c r="C196" s="13"/>
      <c r="D196" s="925"/>
      <c r="E196" s="943"/>
      <c r="F196" s="935"/>
      <c r="G196" s="936"/>
      <c r="H196" s="926"/>
      <c r="I196" s="947"/>
      <c r="J196" s="926"/>
      <c r="K196" s="947"/>
      <c r="L196" s="940"/>
      <c r="M196" s="940"/>
      <c r="N196" s="926"/>
      <c r="O196" s="925"/>
      <c r="P196" s="107"/>
      <c r="Q196" s="22"/>
      <c r="W196" s="927"/>
      <c r="X196" s="13"/>
      <c r="Y196" s="1"/>
      <c r="Z196" s="928"/>
      <c r="AB196" s="933"/>
    </row>
    <row r="197" spans="2:28">
      <c r="B197" s="3"/>
      <c r="C197" s="13"/>
      <c r="D197" s="925"/>
      <c r="E197" s="943"/>
      <c r="F197" s="940"/>
      <c r="G197" s="936"/>
      <c r="H197" s="926"/>
      <c r="I197" s="926"/>
      <c r="J197" s="926"/>
      <c r="K197" s="926"/>
      <c r="L197" s="940"/>
      <c r="M197" s="940"/>
      <c r="N197" s="926"/>
      <c r="O197" s="925"/>
      <c r="P197" s="107"/>
      <c r="Q197" s="22"/>
      <c r="W197" s="927"/>
      <c r="X197" s="13"/>
      <c r="Y197" s="1"/>
      <c r="Z197" s="928"/>
      <c r="AB197" s="929"/>
    </row>
    <row r="198" spans="2:28" ht="12" customHeight="1">
      <c r="B198" s="3"/>
      <c r="C198" s="13"/>
      <c r="D198" s="925"/>
      <c r="E198" s="943"/>
      <c r="F198" s="935"/>
      <c r="G198" s="936"/>
      <c r="H198" s="926"/>
      <c r="I198" s="926"/>
      <c r="J198" s="926"/>
      <c r="K198" s="926"/>
      <c r="L198" s="940"/>
      <c r="M198" s="935"/>
      <c r="N198" s="926"/>
      <c r="O198" s="925"/>
      <c r="P198" s="107"/>
      <c r="Q198" s="22"/>
      <c r="W198" s="927"/>
      <c r="X198" s="13"/>
      <c r="Y198" s="1"/>
      <c r="Z198" s="928"/>
      <c r="AB198" s="929"/>
    </row>
    <row r="199" spans="2:28" ht="12.75" customHeight="1">
      <c r="B199" s="3"/>
      <c r="C199" s="13"/>
      <c r="D199" s="925"/>
      <c r="E199" s="943"/>
      <c r="F199" s="940"/>
      <c r="G199" s="936"/>
      <c r="H199" s="926"/>
      <c r="I199" s="926"/>
      <c r="J199" s="926"/>
      <c r="K199" s="926"/>
      <c r="L199" s="936"/>
      <c r="M199" s="936"/>
      <c r="N199" s="9"/>
      <c r="O199" s="925"/>
      <c r="P199" s="107"/>
      <c r="Q199" s="22"/>
      <c r="W199" s="927"/>
      <c r="X199" s="13"/>
      <c r="Y199" s="1"/>
      <c r="Z199" s="928"/>
      <c r="AB199" s="929"/>
    </row>
    <row r="200" spans="2:28" ht="11.25" customHeight="1">
      <c r="B200" s="3"/>
      <c r="C200" s="13"/>
      <c r="D200" s="925"/>
      <c r="E200" s="943"/>
      <c r="F200" s="940"/>
      <c r="G200" s="940"/>
      <c r="H200" s="926"/>
      <c r="I200" s="926"/>
      <c r="J200" s="926"/>
      <c r="K200" s="935"/>
      <c r="L200" s="947"/>
      <c r="M200" s="940"/>
      <c r="N200" s="936"/>
      <c r="O200" s="925"/>
      <c r="P200" s="107"/>
      <c r="Q200" s="22"/>
      <c r="W200" s="927"/>
      <c r="X200" s="13"/>
      <c r="Y200" s="1"/>
      <c r="Z200" s="928"/>
      <c r="AB200" s="929"/>
    </row>
    <row r="201" spans="2:28" ht="12" customHeight="1">
      <c r="B201" s="3"/>
      <c r="C201" s="13"/>
      <c r="D201" s="925"/>
      <c r="E201" s="943"/>
      <c r="F201" s="935"/>
      <c r="G201" s="936"/>
      <c r="H201" s="926"/>
      <c r="I201" s="926"/>
      <c r="J201" s="926"/>
      <c r="K201" s="926"/>
      <c r="L201" s="935"/>
      <c r="M201" s="935"/>
      <c r="N201" s="926"/>
      <c r="O201" s="925"/>
      <c r="P201" s="107"/>
      <c r="Q201" s="22"/>
      <c r="W201" s="927"/>
      <c r="X201" s="13"/>
      <c r="Y201" s="1"/>
      <c r="Z201" s="928"/>
      <c r="AB201" s="929"/>
    </row>
    <row r="202" spans="2:28">
      <c r="B202" s="3"/>
      <c r="C202" s="13"/>
      <c r="D202" s="925"/>
      <c r="E202" s="943"/>
      <c r="F202" s="940"/>
      <c r="G202" s="936"/>
      <c r="H202" s="926"/>
      <c r="I202" s="926"/>
      <c r="J202" s="926"/>
      <c r="K202" s="926"/>
      <c r="L202" s="936"/>
      <c r="M202" s="936"/>
      <c r="N202" s="926"/>
      <c r="O202" s="925"/>
      <c r="P202" s="938"/>
      <c r="Q202" s="22"/>
      <c r="W202" s="927"/>
      <c r="X202" s="13"/>
      <c r="Y202" s="1"/>
      <c r="Z202" s="928"/>
      <c r="AB202" s="939"/>
    </row>
    <row r="203" spans="2:28" ht="13.5" customHeight="1">
      <c r="B203" s="3"/>
      <c r="C203" s="13"/>
      <c r="D203" s="925"/>
      <c r="E203" s="943"/>
      <c r="F203" s="935"/>
      <c r="G203" s="936"/>
      <c r="H203" s="926"/>
      <c r="I203" s="926"/>
      <c r="J203" s="926"/>
      <c r="K203" s="926"/>
      <c r="L203" s="936"/>
      <c r="M203" s="936"/>
      <c r="N203" s="926"/>
      <c r="O203" s="925"/>
      <c r="P203" s="107"/>
      <c r="Q203" s="22"/>
      <c r="W203" s="927"/>
      <c r="X203" s="13"/>
      <c r="Y203" s="1"/>
      <c r="Z203" s="928"/>
      <c r="AB203" s="929"/>
    </row>
    <row r="204" spans="2:28" ht="13.5" customHeight="1">
      <c r="B204" s="3"/>
      <c r="C204" s="13"/>
      <c r="D204" s="925"/>
      <c r="E204" s="943"/>
      <c r="F204" s="936"/>
      <c r="G204" s="940"/>
      <c r="H204" s="926"/>
      <c r="I204" s="926"/>
      <c r="J204" s="926"/>
      <c r="K204" s="926"/>
      <c r="L204" s="947"/>
      <c r="M204" s="940"/>
      <c r="N204" s="926"/>
      <c r="O204" s="925"/>
      <c r="P204" s="938"/>
      <c r="Q204" s="22"/>
      <c r="W204" s="927"/>
      <c r="X204" s="13"/>
      <c r="Y204" s="1"/>
      <c r="Z204" s="928"/>
      <c r="AB204" s="939"/>
    </row>
    <row r="205" spans="2:28" hidden="1">
      <c r="B205" s="3"/>
      <c r="C205" s="13"/>
      <c r="D205" s="925"/>
      <c r="E205" s="943"/>
      <c r="F205" s="940"/>
      <c r="G205" s="936"/>
      <c r="H205" s="926"/>
      <c r="I205" s="926"/>
      <c r="J205" s="926"/>
      <c r="K205" s="926"/>
      <c r="L205" s="935"/>
      <c r="M205" s="935"/>
      <c r="N205" s="926"/>
      <c r="O205" s="925"/>
      <c r="P205" s="107"/>
      <c r="Q205" s="22"/>
      <c r="W205" s="927"/>
      <c r="X205" s="13"/>
      <c r="Y205" s="1"/>
      <c r="Z205" s="928"/>
      <c r="AB205" s="933"/>
    </row>
    <row r="206" spans="2:28" ht="13.5" customHeight="1">
      <c r="B206" s="3"/>
      <c r="C206" s="4"/>
      <c r="D206" s="925"/>
      <c r="E206" s="943"/>
      <c r="F206" s="936"/>
      <c r="G206" s="936"/>
      <c r="H206" s="926"/>
      <c r="I206" s="926"/>
      <c r="J206" s="926"/>
      <c r="K206" s="926"/>
      <c r="L206" s="940"/>
      <c r="M206" s="940"/>
      <c r="N206" s="926"/>
      <c r="O206" s="925"/>
      <c r="P206" s="107"/>
      <c r="Q206" s="22"/>
      <c r="W206" s="927"/>
      <c r="X206" s="13"/>
      <c r="Y206" s="1"/>
      <c r="Z206" s="928"/>
      <c r="AB206" s="929"/>
    </row>
    <row r="207" spans="2:28" ht="12" customHeight="1">
      <c r="B207" s="3"/>
      <c r="C207" s="13"/>
      <c r="D207" s="925"/>
      <c r="E207" s="943"/>
      <c r="F207" s="935"/>
      <c r="G207" s="936"/>
      <c r="H207" s="947"/>
      <c r="I207" s="926"/>
      <c r="J207" s="926"/>
      <c r="K207" s="926"/>
      <c r="L207" s="935"/>
      <c r="M207" s="936"/>
      <c r="N207" s="926"/>
      <c r="O207" s="930"/>
      <c r="P207" s="938"/>
      <c r="Q207" s="22"/>
      <c r="W207" s="927"/>
      <c r="X207" s="13"/>
      <c r="Y207" s="1"/>
      <c r="Z207" s="928"/>
      <c r="AB207" s="939"/>
    </row>
    <row r="208" spans="2:28" ht="13.5" customHeight="1">
      <c r="B208" s="3"/>
      <c r="C208" s="13"/>
      <c r="D208" s="925"/>
      <c r="E208" s="943"/>
      <c r="F208" s="947"/>
      <c r="G208" s="947"/>
      <c r="H208" s="926"/>
      <c r="I208" s="926"/>
      <c r="J208" s="926"/>
      <c r="K208" s="926"/>
      <c r="L208" s="948"/>
      <c r="M208" s="947"/>
      <c r="N208" s="926"/>
      <c r="O208" s="930"/>
      <c r="P208" s="107"/>
      <c r="Q208" s="22"/>
      <c r="W208" s="927"/>
      <c r="X208" s="13"/>
      <c r="Y208" s="1"/>
      <c r="Z208" s="928"/>
      <c r="AB208" s="942"/>
    </row>
    <row r="209" spans="2:28">
      <c r="B209" s="3"/>
      <c r="C209" s="13"/>
      <c r="D209" s="925"/>
      <c r="E209" s="943"/>
      <c r="F209" s="151"/>
      <c r="G209" s="151"/>
      <c r="H209" s="151"/>
      <c r="I209" s="151"/>
      <c r="J209" s="151"/>
      <c r="K209" s="151"/>
      <c r="L209" s="151"/>
      <c r="M209" s="151"/>
      <c r="N209" s="151"/>
      <c r="O209" s="930"/>
      <c r="P209" s="107"/>
      <c r="Q209" s="22"/>
      <c r="W209" s="927"/>
      <c r="X209" s="13"/>
      <c r="Y209" s="1"/>
      <c r="Z209" s="928"/>
      <c r="AB209" s="929"/>
    </row>
    <row r="210" spans="2:28" ht="12.75" customHeight="1">
      <c r="B210" s="3"/>
      <c r="C210" s="13"/>
      <c r="D210" s="925"/>
      <c r="E210" s="943"/>
      <c r="F210" s="151"/>
      <c r="G210" s="151"/>
      <c r="H210" s="151"/>
      <c r="I210" s="151"/>
      <c r="J210" s="151"/>
      <c r="K210" s="151"/>
      <c r="L210" s="151"/>
      <c r="M210" s="151"/>
      <c r="N210" s="151"/>
      <c r="O210" s="930"/>
      <c r="P210" s="107"/>
      <c r="Q210" s="22"/>
      <c r="W210" s="927"/>
      <c r="X210" s="13"/>
      <c r="Y210" s="1"/>
      <c r="Z210" s="928"/>
      <c r="AB210" s="929"/>
    </row>
    <row r="211" spans="2:28" ht="12" customHeight="1">
      <c r="B211" s="3"/>
      <c r="C211" s="13"/>
      <c r="D211" s="925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930"/>
      <c r="P211" s="107"/>
      <c r="Q211" s="22"/>
      <c r="W211" s="927"/>
      <c r="X211" s="13"/>
      <c r="Y211" s="1"/>
      <c r="Z211" s="928"/>
      <c r="AB211" s="929"/>
    </row>
    <row r="212" spans="2:28" ht="12.75" customHeight="1">
      <c r="B212" s="3"/>
      <c r="C212" s="13"/>
      <c r="D212" s="925"/>
      <c r="E212" s="151"/>
      <c r="F212" s="151"/>
      <c r="G212" s="151"/>
      <c r="H212" s="151"/>
      <c r="I212" s="151"/>
      <c r="J212" s="151"/>
      <c r="K212" s="944"/>
      <c r="L212" s="151"/>
      <c r="M212" s="151"/>
      <c r="N212" s="151"/>
      <c r="O212" s="932"/>
      <c r="P212" s="107"/>
      <c r="Q212" s="22"/>
      <c r="W212" s="945"/>
      <c r="X212" s="13"/>
      <c r="Y212" s="946"/>
      <c r="Z212" s="928"/>
      <c r="AB212" s="929"/>
    </row>
  </sheetData>
  <pageMargins left="0.118055555555556" right="0.118055555555556" top="0.15763888888888899" bottom="0.15763888888888899" header="0.51180555555555496" footer="0.51180555555555496"/>
  <pageSetup paperSize="9" scale="73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BF73-3670-44C2-AD8A-3BC98ACBDE2D}">
  <sheetPr>
    <pageSetUpPr fitToPage="1"/>
  </sheetPr>
  <dimension ref="B1:AH212"/>
  <sheetViews>
    <sheetView topLeftCell="A46" zoomScaleNormal="100" workbookViewId="0">
      <pane xSplit="1" topLeftCell="B1" activePane="topRight" state="frozen"/>
      <selection pane="topRight" sqref="A1:R64"/>
    </sheetView>
  </sheetViews>
  <sheetFormatPr defaultRowHeight="15"/>
  <cols>
    <col min="1" max="1" width="1.85546875" customWidth="1"/>
    <col min="2" max="2" width="4" customWidth="1"/>
    <col min="3" max="3" width="26.5703125" customWidth="1"/>
    <col min="4" max="4" width="8.7109375" customWidth="1"/>
    <col min="5" max="5" width="7.28515625" customWidth="1"/>
    <col min="6" max="6" width="6.85546875" customWidth="1"/>
    <col min="7" max="7" width="6.5703125" customWidth="1"/>
    <col min="8" max="8" width="6" customWidth="1"/>
    <col min="9" max="9" width="6.28515625" customWidth="1"/>
    <col min="10" max="10" width="6.7109375" customWidth="1"/>
    <col min="11" max="11" width="5.7109375" customWidth="1"/>
    <col min="12" max="12" width="6.140625" customWidth="1"/>
    <col min="13" max="13" width="6.28515625" customWidth="1"/>
    <col min="14" max="14" width="6.42578125" customWidth="1"/>
    <col min="15" max="16" width="6" customWidth="1"/>
    <col min="17" max="17" width="6.28515625" customWidth="1"/>
    <col min="18" max="18" width="6.85546875" customWidth="1"/>
    <col min="19" max="19" width="6.5703125" customWidth="1"/>
    <col min="20" max="20" width="6" customWidth="1"/>
    <col min="21" max="21" width="16.8554687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6" customWidth="1"/>
    <col min="30" max="30" width="9" customWidth="1"/>
    <col min="31" max="31" width="1.85546875" customWidth="1"/>
    <col min="32" max="32" width="15.7109375" customWidth="1"/>
    <col min="33" max="33" width="15.5703125" customWidth="1"/>
    <col min="34" max="34" width="12.140625" customWidth="1"/>
  </cols>
  <sheetData>
    <row r="1" spans="2:34" ht="10.5" customHeight="1"/>
    <row r="2" spans="2:34" ht="15.75" thickBot="1">
      <c r="B2" s="143" t="s">
        <v>514</v>
      </c>
      <c r="D2" s="94" t="s">
        <v>27</v>
      </c>
      <c r="J2" t="s">
        <v>393</v>
      </c>
    </row>
    <row r="3" spans="2:34" ht="13.5" customHeight="1">
      <c r="B3" s="88"/>
      <c r="C3" s="634"/>
      <c r="D3" s="27" t="s">
        <v>28</v>
      </c>
      <c r="E3" s="603" t="s">
        <v>353</v>
      </c>
      <c r="F3" s="67"/>
      <c r="G3" s="67"/>
      <c r="H3" s="67"/>
      <c r="I3" s="67"/>
      <c r="J3" s="67"/>
      <c r="K3" s="67"/>
      <c r="L3" s="67"/>
      <c r="M3" s="51"/>
      <c r="N3" s="51"/>
      <c r="O3" s="68"/>
      <c r="P3" s="68"/>
      <c r="Q3" s="173" t="s">
        <v>29</v>
      </c>
      <c r="R3" s="173" t="s">
        <v>30</v>
      </c>
      <c r="S3" s="2236" t="s">
        <v>933</v>
      </c>
      <c r="T3" s="2236" t="s">
        <v>933</v>
      </c>
      <c r="V3" s="22"/>
      <c r="W3" s="13"/>
    </row>
    <row r="4" spans="2:34" ht="12.75" customHeight="1">
      <c r="B4" s="61"/>
      <c r="C4" s="635"/>
      <c r="D4" s="636" t="s">
        <v>287</v>
      </c>
      <c r="E4" s="1122" t="s">
        <v>392</v>
      </c>
      <c r="F4" s="14"/>
      <c r="G4" s="14"/>
      <c r="H4" s="14"/>
      <c r="I4" s="14"/>
      <c r="J4" s="14"/>
      <c r="K4" s="14"/>
      <c r="L4" s="14"/>
      <c r="M4" s="13"/>
      <c r="N4" s="13"/>
      <c r="Q4" s="1517" t="s">
        <v>303</v>
      </c>
      <c r="R4" s="636" t="s">
        <v>31</v>
      </c>
      <c r="S4" s="2237" t="s">
        <v>129</v>
      </c>
      <c r="T4" s="2237" t="s">
        <v>129</v>
      </c>
      <c r="V4" s="22"/>
      <c r="W4" s="13"/>
    </row>
    <row r="5" spans="2:34" ht="12.75" customHeight="1" thickBot="1">
      <c r="B5" s="61"/>
      <c r="C5" s="637" t="s">
        <v>32</v>
      </c>
      <c r="D5" s="70" t="s">
        <v>29</v>
      </c>
      <c r="E5" s="1123" t="s">
        <v>302</v>
      </c>
      <c r="F5" s="72"/>
      <c r="G5" s="72"/>
      <c r="H5" s="72"/>
      <c r="I5" s="29" t="s">
        <v>931</v>
      </c>
      <c r="J5" s="29"/>
      <c r="K5" s="72"/>
      <c r="L5" s="872" t="s">
        <v>145</v>
      </c>
      <c r="M5" s="52"/>
      <c r="N5" s="52"/>
      <c r="O5" s="29"/>
      <c r="P5" s="29"/>
      <c r="Q5" s="636" t="s">
        <v>34</v>
      </c>
      <c r="R5" s="636" t="s">
        <v>33</v>
      </c>
      <c r="S5" s="2238" t="s">
        <v>934</v>
      </c>
      <c r="T5" s="2237" t="s">
        <v>934</v>
      </c>
      <c r="U5" s="62"/>
      <c r="V5" s="22"/>
      <c r="W5" s="13"/>
      <c r="AD5" s="922"/>
    </row>
    <row r="6" spans="2:34" ht="12.75" customHeight="1">
      <c r="B6" s="61" t="s">
        <v>288</v>
      </c>
      <c r="C6" s="635"/>
      <c r="D6" s="69" t="s">
        <v>46</v>
      </c>
      <c r="E6" s="27" t="s">
        <v>35</v>
      </c>
      <c r="F6" s="27" t="s">
        <v>36</v>
      </c>
      <c r="G6" s="27" t="s">
        <v>37</v>
      </c>
      <c r="H6" s="27" t="s">
        <v>38</v>
      </c>
      <c r="I6" s="26" t="s">
        <v>39</v>
      </c>
      <c r="J6" s="27" t="s">
        <v>40</v>
      </c>
      <c r="K6" s="26" t="s">
        <v>41</v>
      </c>
      <c r="L6" s="27" t="s">
        <v>42</v>
      </c>
      <c r="M6" s="26" t="s">
        <v>43</v>
      </c>
      <c r="N6" s="27" t="s">
        <v>44</v>
      </c>
      <c r="O6" s="27" t="s">
        <v>549</v>
      </c>
      <c r="P6" s="1101" t="s">
        <v>550</v>
      </c>
      <c r="Q6" s="636">
        <v>12</v>
      </c>
      <c r="R6" s="636" t="s">
        <v>45</v>
      </c>
      <c r="S6" s="636" t="s">
        <v>34</v>
      </c>
      <c r="T6" s="1517" t="s">
        <v>935</v>
      </c>
      <c r="V6" s="22"/>
      <c r="W6" s="13"/>
      <c r="AB6" s="150"/>
      <c r="AD6" s="922"/>
    </row>
    <row r="7" spans="2:34" ht="12" customHeight="1">
      <c r="B7" s="61"/>
      <c r="C7" s="637" t="s">
        <v>289</v>
      </c>
      <c r="E7" s="70" t="s">
        <v>47</v>
      </c>
      <c r="F7" s="70" t="s">
        <v>47</v>
      </c>
      <c r="G7" s="70" t="s">
        <v>47</v>
      </c>
      <c r="H7" s="70" t="s">
        <v>47</v>
      </c>
      <c r="I7" s="22" t="s">
        <v>47</v>
      </c>
      <c r="J7" s="70" t="s">
        <v>47</v>
      </c>
      <c r="K7" s="70" t="s">
        <v>47</v>
      </c>
      <c r="L7" s="70" t="s">
        <v>47</v>
      </c>
      <c r="M7" s="22" t="s">
        <v>47</v>
      </c>
      <c r="N7" s="70" t="s">
        <v>47</v>
      </c>
      <c r="O7" s="70" t="s">
        <v>47</v>
      </c>
      <c r="P7" s="607" t="s">
        <v>47</v>
      </c>
      <c r="Q7" s="636" t="s">
        <v>936</v>
      </c>
      <c r="R7" s="636" t="s">
        <v>279</v>
      </c>
      <c r="S7" s="636" t="s">
        <v>937</v>
      </c>
      <c r="T7" s="1517"/>
      <c r="U7" s="62"/>
      <c r="V7" s="22"/>
      <c r="W7" s="13"/>
      <c r="AB7" s="150"/>
      <c r="AD7" s="923"/>
    </row>
    <row r="8" spans="2:34" ht="14.25" customHeight="1" thickBot="1">
      <c r="B8" s="61"/>
      <c r="C8" s="638"/>
      <c r="D8" s="73" t="s">
        <v>290</v>
      </c>
      <c r="E8" s="52"/>
      <c r="F8" s="53"/>
      <c r="G8" s="52"/>
      <c r="H8" s="53"/>
      <c r="I8" s="106"/>
      <c r="J8" s="53"/>
      <c r="K8" s="53"/>
      <c r="L8" s="53"/>
      <c r="M8" s="52"/>
      <c r="N8" s="53"/>
      <c r="O8" s="106"/>
      <c r="P8" s="2227"/>
      <c r="Q8" s="636"/>
      <c r="R8" s="636" t="s">
        <v>280</v>
      </c>
      <c r="S8" s="2239">
        <v>0.6</v>
      </c>
      <c r="T8" s="2240">
        <v>1</v>
      </c>
      <c r="U8" s="3"/>
      <c r="V8" s="22"/>
      <c r="W8" s="13"/>
      <c r="Y8" s="345"/>
      <c r="Z8" s="22"/>
      <c r="AA8" s="3"/>
      <c r="AB8" s="924"/>
      <c r="AD8" s="923"/>
    </row>
    <row r="9" spans="2:34">
      <c r="B9" s="639">
        <v>1</v>
      </c>
      <c r="C9" s="640" t="s">
        <v>291</v>
      </c>
      <c r="D9" s="189">
        <v>72</v>
      </c>
      <c r="E9" s="853">
        <f>'12-18л. РАСКЛАДКА'!W11</f>
        <v>80</v>
      </c>
      <c r="F9" s="77">
        <f>'12-18л. РАСКЛАДКА'!W70</f>
        <v>90</v>
      </c>
      <c r="G9" s="77">
        <f>'12-18л. РАСКЛАДКА'!W132</f>
        <v>70</v>
      </c>
      <c r="H9" s="77">
        <f>'12-18л. РАСКЛАДКА'!W189</f>
        <v>50</v>
      </c>
      <c r="I9" s="77">
        <f>'12-18л. РАСКЛАДКА'!W245</f>
        <v>70</v>
      </c>
      <c r="J9" s="77">
        <f>'12-18л. РАСКЛАДКА'!W300</f>
        <v>74</v>
      </c>
      <c r="K9" s="77">
        <f>'12-18л. РАСКЛАДКА'!W354</f>
        <v>70</v>
      </c>
      <c r="L9" s="77">
        <f>'12-18л. РАСКЛАДКА'!W405</f>
        <v>80</v>
      </c>
      <c r="M9" s="77">
        <f>'12-18л. РАСКЛАДКА'!W458</f>
        <v>70</v>
      </c>
      <c r="N9" s="77">
        <f>'12-18л. РАСКЛАДКА'!W513</f>
        <v>70</v>
      </c>
      <c r="O9" s="77">
        <f>'12-18л. РАСКЛАДКА'!W567</f>
        <v>80</v>
      </c>
      <c r="P9" s="2228">
        <f>'12-18л. РАСКЛАДКА'!W623</f>
        <v>60</v>
      </c>
      <c r="Q9" s="2250">
        <f>E9+F9+G9+H9+I9+J9+K9+L9+M9+N9+O9+P9</f>
        <v>864</v>
      </c>
      <c r="R9" s="2614">
        <f>(Q9*100/S9)-100</f>
        <v>0</v>
      </c>
      <c r="S9" s="2241">
        <f>(T9*60/100)*12</f>
        <v>864</v>
      </c>
      <c r="T9" s="2242">
        <v>120</v>
      </c>
      <c r="U9" s="3"/>
      <c r="Y9" s="927"/>
      <c r="Z9" s="13"/>
      <c r="AA9" s="1"/>
      <c r="AB9" s="928"/>
      <c r="AD9" s="929"/>
    </row>
    <row r="10" spans="2:34">
      <c r="B10" s="596">
        <v>2</v>
      </c>
      <c r="C10" s="238" t="s">
        <v>48</v>
      </c>
      <c r="D10" s="160">
        <v>120</v>
      </c>
      <c r="E10" s="853">
        <f>'12-18л. РАСКЛАДКА'!W12</f>
        <v>110</v>
      </c>
      <c r="F10" s="77">
        <f>'12-18л. РАСКЛАДКА'!W71</f>
        <v>130</v>
      </c>
      <c r="G10" s="77">
        <f>'12-18л. РАСКЛАДКА'!W133</f>
        <v>112</v>
      </c>
      <c r="H10" s="77">
        <f>'12-18л. РАСКЛАДКА'!W190</f>
        <v>100</v>
      </c>
      <c r="I10" s="77">
        <f>'12-18л. РАСКЛАДКА'!W246</f>
        <v>128</v>
      </c>
      <c r="J10" s="77">
        <f>'12-18л. РАСКЛАДКА'!W301</f>
        <v>120</v>
      </c>
      <c r="K10" s="77">
        <f>'12-18л. РАСКЛАДКА'!W355</f>
        <v>133.5</v>
      </c>
      <c r="L10" s="77">
        <f>'12-18л. РАСКЛАДКА'!W406</f>
        <v>100</v>
      </c>
      <c r="M10" s="77">
        <f>'12-18л. РАСКЛАДКА'!W459</f>
        <v>110</v>
      </c>
      <c r="N10" s="77">
        <f>'12-18л. РАСКЛАДКА'!W514</f>
        <v>116</v>
      </c>
      <c r="O10" s="77">
        <f>'12-18л. РАСКЛАДКА'!W568</f>
        <v>160.5</v>
      </c>
      <c r="P10" s="2228">
        <f>'12-18л. РАСКЛАДКА'!W624</f>
        <v>120</v>
      </c>
      <c r="Q10" s="2251">
        <f>E10+F10+G10+H10+I10+J10+K10+L10+M10+N10+O10+P10</f>
        <v>1440</v>
      </c>
      <c r="R10" s="2564">
        <f t="shared" ref="R10:R43" si="0">(Q10*100/S10)-100</f>
        <v>0</v>
      </c>
      <c r="S10" s="2243">
        <f t="shared" ref="S10:S43" si="1">(T10*60/100)*12</f>
        <v>1440</v>
      </c>
      <c r="T10" s="2244">
        <v>200</v>
      </c>
      <c r="U10" s="3"/>
      <c r="Y10" s="927"/>
      <c r="Z10" s="13"/>
      <c r="AA10" s="1"/>
      <c r="AB10" s="928"/>
      <c r="AD10" s="929"/>
    </row>
    <row r="11" spans="2:34">
      <c r="B11" s="596">
        <v>3</v>
      </c>
      <c r="C11" s="238" t="s">
        <v>49</v>
      </c>
      <c r="D11" s="160">
        <v>12</v>
      </c>
      <c r="E11" s="853">
        <f>'12-18л. РАСКЛАДКА'!W13</f>
        <v>4.1399999999999997</v>
      </c>
      <c r="F11" s="77">
        <f>'12-18л. РАСКЛАДКА'!W72</f>
        <v>0</v>
      </c>
      <c r="G11" s="77">
        <f>'12-18л. РАСКЛАДКА'!W134</f>
        <v>14.100000000000001</v>
      </c>
      <c r="H11" s="77">
        <f>'12-18л. РАСКЛАДКА'!W191</f>
        <v>15.6</v>
      </c>
      <c r="I11" s="77">
        <f>'12-18л. РАСКЛАДКА'!W247</f>
        <v>39.825000000000003</v>
      </c>
      <c r="J11" s="77">
        <f>'12-18л. РАСКЛАДКА'!W302</f>
        <v>7.1</v>
      </c>
      <c r="K11" s="77">
        <f>'12-18л. РАСКЛАДКА'!W356</f>
        <v>4.05</v>
      </c>
      <c r="L11" s="77">
        <f>'12-18л. РАСКЛАДКА'!W407</f>
        <v>13.07</v>
      </c>
      <c r="M11" s="77">
        <f>'12-18л. РАСКЛАДКА'!W460</f>
        <v>6.580000000000001</v>
      </c>
      <c r="N11" s="77">
        <f>'12-18л. РАСКЛАДКА'!W515</f>
        <v>26.364999999999998</v>
      </c>
      <c r="O11" s="77">
        <f>'12-18л. РАСКЛАДКА'!W569</f>
        <v>1.5</v>
      </c>
      <c r="P11" s="2228">
        <f>'12-18л. РАСКЛАДКА'!W625</f>
        <v>11.670000000000002</v>
      </c>
      <c r="Q11" s="2251">
        <f t="shared" ref="Q11:Q42" si="2">E11+F11+G11+H11+I11+J11+K11+L11+M11+N11+O11+P11</f>
        <v>144</v>
      </c>
      <c r="R11" s="2564">
        <f t="shared" si="0"/>
        <v>0</v>
      </c>
      <c r="S11" s="2243">
        <f t="shared" si="1"/>
        <v>144</v>
      </c>
      <c r="T11" s="2244">
        <v>20</v>
      </c>
      <c r="U11" s="3"/>
      <c r="Y11" s="927"/>
      <c r="Z11" s="13"/>
      <c r="AA11" s="1"/>
      <c r="AB11" s="928"/>
      <c r="AD11" s="931"/>
    </row>
    <row r="12" spans="2:34">
      <c r="B12" s="596">
        <v>4</v>
      </c>
      <c r="C12" s="238" t="s">
        <v>50</v>
      </c>
      <c r="D12" s="160">
        <v>30</v>
      </c>
      <c r="E12" s="853">
        <f>'12-18л. РАСКЛАДКА'!W14</f>
        <v>31</v>
      </c>
      <c r="F12" s="77">
        <f>'12-18л. РАСКЛАДКА'!W73</f>
        <v>51</v>
      </c>
      <c r="G12" s="77">
        <f>'12-18л. РАСКЛАДКА'!W135</f>
        <v>38.85</v>
      </c>
      <c r="H12" s="77">
        <f>'12-18л. РАСКЛАДКА'!W192</f>
        <v>20</v>
      </c>
      <c r="I12" s="77">
        <f>'12-18л. РАСКЛАДКА'!W248</f>
        <v>0</v>
      </c>
      <c r="J12" s="77">
        <f>'12-18л. РАСКЛАДКА'!W303</f>
        <v>43</v>
      </c>
      <c r="K12" s="77">
        <f>'12-18л. РАСКЛАДКА'!W357</f>
        <v>5.05</v>
      </c>
      <c r="L12" s="77">
        <f>'12-18л. РАСКЛАДКА'!W408</f>
        <v>20</v>
      </c>
      <c r="M12" s="77">
        <f>'12-18л. РАСКЛАДКА'!W461</f>
        <v>47.6</v>
      </c>
      <c r="N12" s="77">
        <f>'12-18л. РАСКЛАДКА'!W516</f>
        <v>30</v>
      </c>
      <c r="O12" s="77">
        <f>'12-18л. РАСКЛАДКА'!W570</f>
        <v>43.5</v>
      </c>
      <c r="P12" s="2228">
        <f>'12-18л. РАСКЛАДКА'!W626</f>
        <v>30</v>
      </c>
      <c r="Q12" s="2251">
        <f t="shared" si="2"/>
        <v>360</v>
      </c>
      <c r="R12" s="2564">
        <f t="shared" si="0"/>
        <v>0</v>
      </c>
      <c r="S12" s="2243">
        <f t="shared" si="1"/>
        <v>360</v>
      </c>
      <c r="T12" s="2244">
        <v>50</v>
      </c>
      <c r="U12" s="3"/>
      <c r="Y12" s="927"/>
      <c r="Z12" s="13"/>
      <c r="AA12" s="1"/>
      <c r="AB12" s="928"/>
      <c r="AD12" s="929"/>
    </row>
    <row r="13" spans="2:34">
      <c r="B13" s="596">
        <v>5</v>
      </c>
      <c r="C13" s="238" t="s">
        <v>51</v>
      </c>
      <c r="D13" s="160">
        <v>12</v>
      </c>
      <c r="E13" s="853">
        <f>'12-18л. РАСКЛАДКА'!W15</f>
        <v>49.1</v>
      </c>
      <c r="F13" s="77">
        <f>'12-18л. РАСКЛАДКА'!W74</f>
        <v>20.9</v>
      </c>
      <c r="G13" s="77">
        <f>'12-18л. РАСКЛАДКА'!W136</f>
        <v>0</v>
      </c>
      <c r="H13" s="77">
        <f>'12-18л. РАСКЛАДКА'!W193</f>
        <v>0</v>
      </c>
      <c r="I13" s="77">
        <f>'12-18л. РАСКЛАДКА'!W249</f>
        <v>0</v>
      </c>
      <c r="J13" s="77">
        <f>'12-18л. РАСКЛАДКА'!W304</f>
        <v>0</v>
      </c>
      <c r="K13" s="77">
        <f>'12-18л. РАСКЛАДКА'!W358</f>
        <v>0</v>
      </c>
      <c r="L13" s="77">
        <f>'12-18л. РАСКЛАДКА'!W409</f>
        <v>60</v>
      </c>
      <c r="M13" s="77">
        <f>'12-18л. РАСКЛАДКА'!W462</f>
        <v>0</v>
      </c>
      <c r="N13" s="77">
        <f>'12-18л. РАСКЛАДКА'!W517</f>
        <v>0</v>
      </c>
      <c r="O13" s="77">
        <f>'12-18л. РАСКЛАДКА'!W571</f>
        <v>0</v>
      </c>
      <c r="P13" s="2228">
        <f>'12-18л. РАСКЛАДКА'!W627</f>
        <v>14</v>
      </c>
      <c r="Q13" s="2251">
        <f t="shared" si="2"/>
        <v>144</v>
      </c>
      <c r="R13" s="2564">
        <f t="shared" si="0"/>
        <v>0</v>
      </c>
      <c r="S13" s="2243">
        <f t="shared" si="1"/>
        <v>144</v>
      </c>
      <c r="T13" s="2244">
        <v>20</v>
      </c>
      <c r="U13" s="3"/>
      <c r="Y13" s="927"/>
      <c r="Z13" s="13"/>
      <c r="AA13" s="1"/>
      <c r="AB13" s="928"/>
      <c r="AD13" s="933"/>
    </row>
    <row r="14" spans="2:34">
      <c r="B14" s="596">
        <v>6</v>
      </c>
      <c r="C14" s="238" t="s">
        <v>52</v>
      </c>
      <c r="D14" s="160">
        <v>112.2</v>
      </c>
      <c r="E14" s="853">
        <f>'12-18л. РАСКЛАДКА'!W16</f>
        <v>20</v>
      </c>
      <c r="F14" s="77">
        <f>'12-18л. РАСКЛАДКА'!W75</f>
        <v>0</v>
      </c>
      <c r="G14" s="77">
        <f>'12-18л. РАСКЛАДКА'!W137</f>
        <v>146.80000000000001</v>
      </c>
      <c r="H14" s="77">
        <f>'12-18л. РАСКЛАДКА'!W194</f>
        <v>146</v>
      </c>
      <c r="I14" s="77">
        <f>'12-18л. РАСКЛАДКА'!W250</f>
        <v>241.61</v>
      </c>
      <c r="J14" s="77">
        <f>'12-18л. РАСКЛАДКА'!W305</f>
        <v>121.8</v>
      </c>
      <c r="K14" s="77">
        <f>'12-18л. РАСКЛАДКА'!W359</f>
        <v>132.6</v>
      </c>
      <c r="L14" s="77">
        <f>'12-18л. РАСКЛАДКА'!W410</f>
        <v>71.819999999999993</v>
      </c>
      <c r="M14" s="77">
        <f>'12-18л. РАСКЛАДКА'!W463</f>
        <v>131.4</v>
      </c>
      <c r="N14" s="77">
        <f>'12-18л. РАСКЛАДКА'!W518</f>
        <v>41.71</v>
      </c>
      <c r="O14" s="77">
        <f>'12-18л. РАСКЛАДКА'!W572</f>
        <v>146</v>
      </c>
      <c r="P14" s="2228">
        <f>'12-18л. РАСКЛАДКА'!W628</f>
        <v>146.66</v>
      </c>
      <c r="Q14" s="2251">
        <f t="shared" si="2"/>
        <v>1346.4</v>
      </c>
      <c r="R14" s="2564">
        <f t="shared" si="0"/>
        <v>0</v>
      </c>
      <c r="S14" s="2243">
        <f t="shared" si="1"/>
        <v>1346.4</v>
      </c>
      <c r="T14" s="2244">
        <v>187</v>
      </c>
      <c r="U14" s="3"/>
      <c r="Y14" s="927"/>
      <c r="Z14" s="13"/>
      <c r="AA14" s="1"/>
      <c r="AB14" s="928"/>
      <c r="AD14" s="931"/>
    </row>
    <row r="15" spans="2:34">
      <c r="B15" s="596">
        <v>7</v>
      </c>
      <c r="C15" s="238" t="s">
        <v>292</v>
      </c>
      <c r="D15" s="160">
        <v>192</v>
      </c>
      <c r="E15" s="853">
        <f>'12-18л. РАСКЛАДКА'!W17</f>
        <v>211.7</v>
      </c>
      <c r="F15" s="77">
        <f>'12-18л. РАСКЛАДКА'!W76</f>
        <v>200.6</v>
      </c>
      <c r="G15" s="77">
        <f>'12-18л. РАСКЛАДКА'!W138</f>
        <v>292.60000000000002</v>
      </c>
      <c r="H15" s="77">
        <f>'12-18л. РАСКЛАДКА'!W195</f>
        <v>112.4</v>
      </c>
      <c r="I15" s="77">
        <f>'12-18л. РАСКЛАДКА'!W251</f>
        <v>187.64500000000001</v>
      </c>
      <c r="J15" s="77">
        <f>'12-18л. РАСКЛАДКА'!W306</f>
        <v>197.3</v>
      </c>
      <c r="K15" s="77">
        <f>'12-18л. РАСКЛАДКА'!W360</f>
        <v>297.63</v>
      </c>
      <c r="L15" s="77">
        <f>'12-18л. РАСКЛАДКА'!W411</f>
        <v>189.28</v>
      </c>
      <c r="M15" s="77">
        <f>'12-18л. РАСКЛАДКА'!W464</f>
        <v>316.18</v>
      </c>
      <c r="N15" s="77">
        <f>'12-18л. РАСКЛАДКА'!W519</f>
        <v>70</v>
      </c>
      <c r="O15" s="77">
        <f>'12-18л. РАСКЛАДКА'!W573</f>
        <v>212.57499999999999</v>
      </c>
      <c r="P15" s="2228">
        <f>'12-18л. РАСКЛАДКА'!W629</f>
        <v>272</v>
      </c>
      <c r="Q15" s="2251">
        <f t="shared" si="2"/>
        <v>2559.91</v>
      </c>
      <c r="R15" s="2564">
        <f t="shared" si="0"/>
        <v>11.107204861111114</v>
      </c>
      <c r="S15" s="2243">
        <f t="shared" si="1"/>
        <v>2304</v>
      </c>
      <c r="T15" s="2244">
        <v>320</v>
      </c>
      <c r="U15" s="66"/>
      <c r="Y15" s="927"/>
      <c r="Z15" s="13"/>
      <c r="AA15" s="1"/>
      <c r="AB15" s="928"/>
      <c r="AD15" s="2224"/>
      <c r="AH15" s="176"/>
    </row>
    <row r="16" spans="2:34">
      <c r="B16" s="596">
        <v>8</v>
      </c>
      <c r="C16" s="238" t="s">
        <v>293</v>
      </c>
      <c r="D16" s="160">
        <v>111</v>
      </c>
      <c r="E16" s="853">
        <f>'12-18л. РАСКЛАДКА'!W18</f>
        <v>105</v>
      </c>
      <c r="F16" s="77">
        <f>'12-18л. РАСКЛАДКА'!W77</f>
        <v>120</v>
      </c>
      <c r="G16" s="77">
        <f>'12-18л. РАСКЛАДКА'!W139</f>
        <v>110</v>
      </c>
      <c r="H16" s="77">
        <f>'12-18л. РАСКЛАДКА'!W196</f>
        <v>130</v>
      </c>
      <c r="I16" s="77">
        <f>'12-18л. РАСКЛАДКА'!W252</f>
        <v>108</v>
      </c>
      <c r="J16" s="77">
        <f>'12-18л. РАСКЛАДКА'!W307</f>
        <v>100</v>
      </c>
      <c r="K16" s="77">
        <f>'12-18л. РАСКЛАДКА'!W361</f>
        <v>105</v>
      </c>
      <c r="L16" s="77">
        <f>'12-18л. РАСКЛАДКА'!W412</f>
        <v>110</v>
      </c>
      <c r="M16" s="77">
        <f>'12-18л. РАСКЛАДКА'!W465</f>
        <v>112</v>
      </c>
      <c r="N16" s="77">
        <f>'12-18л. РАСКЛАДКА'!W520</f>
        <v>105</v>
      </c>
      <c r="O16" s="77">
        <f>'12-18л. РАСКЛАДКА'!W574</f>
        <v>117</v>
      </c>
      <c r="P16" s="2228">
        <f>'12-18л. РАСКЛАДКА'!W630</f>
        <v>110</v>
      </c>
      <c r="Q16" s="2251">
        <f t="shared" si="2"/>
        <v>1332</v>
      </c>
      <c r="R16" s="2564">
        <f t="shared" si="0"/>
        <v>0</v>
      </c>
      <c r="S16" s="2243">
        <f t="shared" si="1"/>
        <v>1332</v>
      </c>
      <c r="T16" s="2244">
        <v>185</v>
      </c>
      <c r="U16" s="3"/>
      <c r="Y16" s="927"/>
      <c r="Z16" s="13"/>
      <c r="AA16" s="1"/>
      <c r="AB16" s="928"/>
      <c r="AD16" s="929"/>
    </row>
    <row r="17" spans="2:34">
      <c r="B17" s="596">
        <v>9</v>
      </c>
      <c r="C17" s="238" t="s">
        <v>122</v>
      </c>
      <c r="D17" s="160">
        <v>12</v>
      </c>
      <c r="E17" s="853">
        <f>'12-18л. РАСКЛАДКА'!W19</f>
        <v>0</v>
      </c>
      <c r="F17" s="77">
        <f>'12-18л. РАСКЛАДКА'!W78</f>
        <v>20</v>
      </c>
      <c r="G17" s="77">
        <f>'12-18л. РАСКЛАДКА'!W140</f>
        <v>25</v>
      </c>
      <c r="H17" s="77">
        <f>'12-18л. РАСКЛАДКА'!W197</f>
        <v>0</v>
      </c>
      <c r="I17" s="77">
        <f>'12-18л. РАСКЛАДКА'!W253</f>
        <v>20</v>
      </c>
      <c r="J17" s="77">
        <f>'12-18л. РАСКЛАДКА'!W308</f>
        <v>0</v>
      </c>
      <c r="K17" s="77">
        <f>'12-18л. РАСКЛАДКА'!W362</f>
        <v>0</v>
      </c>
      <c r="L17" s="77">
        <f>'12-18л. РАСКЛАДКА'!W413</f>
        <v>20</v>
      </c>
      <c r="M17" s="77">
        <f>'12-18л. РАСКЛАДКА'!W466</f>
        <v>14</v>
      </c>
      <c r="N17" s="77">
        <f>'12-18л. РАСКЛАДКА'!W521</f>
        <v>25</v>
      </c>
      <c r="O17" s="77">
        <f>'12-18л. РАСКЛАДКА'!W575</f>
        <v>0</v>
      </c>
      <c r="P17" s="2228">
        <f>'12-18л. РАСКЛАДКА'!W631</f>
        <v>20</v>
      </c>
      <c r="Q17" s="2251">
        <f t="shared" si="2"/>
        <v>144</v>
      </c>
      <c r="R17" s="2564">
        <f t="shared" si="0"/>
        <v>0</v>
      </c>
      <c r="S17" s="2243">
        <f t="shared" si="1"/>
        <v>144</v>
      </c>
      <c r="T17" s="2244">
        <v>20</v>
      </c>
      <c r="U17" s="3"/>
      <c r="Y17" s="927"/>
      <c r="Z17" s="13"/>
      <c r="AA17" s="1"/>
      <c r="AB17" s="928"/>
      <c r="AD17" s="941"/>
    </row>
    <row r="18" spans="2:34">
      <c r="B18" s="596">
        <v>10</v>
      </c>
      <c r="C18" s="238" t="s">
        <v>294</v>
      </c>
      <c r="D18" s="160">
        <v>120</v>
      </c>
      <c r="E18" s="853">
        <f>'12-18л. РАСКЛАДКА'!W20</f>
        <v>0</v>
      </c>
      <c r="F18" s="77">
        <f>'12-18л. РАСКЛАДКА'!W79</f>
        <v>0</v>
      </c>
      <c r="G18" s="77">
        <f>'12-18л. РАСКЛАДКА'!W141</f>
        <v>200</v>
      </c>
      <c r="H18" s="77">
        <f>'12-18л. РАСКЛАДКА'!W198</f>
        <v>0</v>
      </c>
      <c r="I18" s="77">
        <f>'12-18л. РАСКЛАДКА'!W254</f>
        <v>200</v>
      </c>
      <c r="J18" s="77">
        <f>'12-18л. РАСКЛАДКА'!W309</f>
        <v>200</v>
      </c>
      <c r="K18" s="77">
        <f>'12-18л. РАСКЛАДКА'!W363</f>
        <v>200</v>
      </c>
      <c r="L18" s="77">
        <f>'12-18л. РАСКЛАДКА'!W414</f>
        <v>200</v>
      </c>
      <c r="M18" s="77">
        <f>'12-18л. РАСКЛАДКА'!W467</f>
        <v>280</v>
      </c>
      <c r="N18" s="77">
        <f>'12-18л. РАСКЛАДКА'!W522</f>
        <v>0</v>
      </c>
      <c r="O18" s="77">
        <f>'12-18л. РАСКЛАДКА'!W576</f>
        <v>0</v>
      </c>
      <c r="P18" s="2228">
        <f>'12-18л. РАСКЛАДКА'!W632</f>
        <v>200</v>
      </c>
      <c r="Q18" s="2251">
        <f t="shared" si="2"/>
        <v>1480</v>
      </c>
      <c r="R18" s="2564">
        <f t="shared" si="0"/>
        <v>2.7777777777777715</v>
      </c>
      <c r="S18" s="2243">
        <f t="shared" si="1"/>
        <v>1440</v>
      </c>
      <c r="T18" s="2244">
        <v>200</v>
      </c>
      <c r="U18" s="3"/>
      <c r="Y18" s="927"/>
      <c r="Z18" s="13"/>
      <c r="AA18" s="1"/>
      <c r="AB18" s="928"/>
      <c r="AD18" s="929"/>
    </row>
    <row r="19" spans="2:34">
      <c r="B19" s="596">
        <v>11</v>
      </c>
      <c r="C19" s="238" t="s">
        <v>139</v>
      </c>
      <c r="D19" s="160">
        <v>46.8</v>
      </c>
      <c r="E19" s="853">
        <f>'12-18л. РАСКЛАДКА'!W21</f>
        <v>2.5</v>
      </c>
      <c r="F19" s="77">
        <f>'12-18л. РАСКЛАДКА'!W80</f>
        <v>94.8</v>
      </c>
      <c r="G19" s="77">
        <f>'12-18л. РАСКЛАДКА'!W142</f>
        <v>85.5</v>
      </c>
      <c r="H19" s="77">
        <f>'12-18л. РАСКЛАДКА'!W199</f>
        <v>72.599999999999994</v>
      </c>
      <c r="I19" s="77">
        <f>'12-18л. РАСКЛАДКА'!W255</f>
        <v>53.1</v>
      </c>
      <c r="J19" s="77">
        <f>'12-18л. РАСКЛАДКА'!W310</f>
        <v>0</v>
      </c>
      <c r="K19" s="77">
        <f>'12-18л. РАСКЛАДКА'!W364</f>
        <v>28.4</v>
      </c>
      <c r="L19" s="77">
        <f>'12-18л. РАСКЛАДКА'!W415</f>
        <v>0</v>
      </c>
      <c r="M19" s="77">
        <f>'12-18л. РАСКЛАДКА'!W468</f>
        <v>81.5</v>
      </c>
      <c r="N19" s="77">
        <f>'12-18л. РАСКЛАДКА'!W523</f>
        <v>0</v>
      </c>
      <c r="O19" s="77">
        <f>'12-18л. РАСКЛАДКА'!W577</f>
        <v>88.6</v>
      </c>
      <c r="P19" s="2228">
        <f>'12-18л. РАСКЛАДКА'!W633</f>
        <v>54.6</v>
      </c>
      <c r="Q19" s="2251">
        <f t="shared" si="2"/>
        <v>561.6</v>
      </c>
      <c r="R19" s="2564">
        <f t="shared" si="0"/>
        <v>0</v>
      </c>
      <c r="S19" s="2243">
        <f t="shared" si="1"/>
        <v>561.59999999999991</v>
      </c>
      <c r="T19" s="2244">
        <v>78</v>
      </c>
      <c r="U19" s="3"/>
      <c r="Y19" s="927"/>
      <c r="Z19" s="13"/>
      <c r="AA19" s="1"/>
      <c r="AB19" s="928"/>
      <c r="AD19" s="929"/>
    </row>
    <row r="20" spans="2:34">
      <c r="B20" s="596">
        <v>12</v>
      </c>
      <c r="C20" s="238" t="s">
        <v>140</v>
      </c>
      <c r="D20" s="160">
        <v>31.8</v>
      </c>
      <c r="E20" s="853">
        <f>'12-18л. РАСКЛАДКА'!W22</f>
        <v>0</v>
      </c>
      <c r="F20" s="77">
        <f>'12-18л. РАСКЛАДКА'!W81</f>
        <v>59.34</v>
      </c>
      <c r="G20" s="77">
        <f>'12-18л. РАСКЛАДКА'!W143</f>
        <v>0</v>
      </c>
      <c r="H20" s="77">
        <f>'12-18л. РАСКЛАДКА'!W200</f>
        <v>0</v>
      </c>
      <c r="I20" s="77">
        <f>'12-18л. РАСКЛАДКА'!W256</f>
        <v>29.4</v>
      </c>
      <c r="J20" s="77">
        <f>'12-18л. РАСКЛАДКА'!W311</f>
        <v>2.5</v>
      </c>
      <c r="K20" s="77">
        <f>'12-18л. РАСКЛАДКА'!W365</f>
        <v>105.75999999999999</v>
      </c>
      <c r="L20" s="77">
        <f>'12-18л. РАСКЛАДКА'!W416</f>
        <v>2.5</v>
      </c>
      <c r="M20" s="77">
        <f>'12-18л. РАСКЛАДКА'!W469</f>
        <v>0</v>
      </c>
      <c r="N20" s="77">
        <f>'12-18л. РАСКЛАДКА'!W524</f>
        <v>76.5</v>
      </c>
      <c r="O20" s="77">
        <f>'12-18л. РАСКЛАДКА'!W578</f>
        <v>0</v>
      </c>
      <c r="P20" s="2228">
        <f>'12-18л. РАСКЛАДКА'!W634</f>
        <v>105.6</v>
      </c>
      <c r="Q20" s="2251">
        <f t="shared" si="2"/>
        <v>381.6</v>
      </c>
      <c r="R20" s="2564">
        <f t="shared" si="0"/>
        <v>0</v>
      </c>
      <c r="S20" s="2243">
        <f t="shared" si="1"/>
        <v>381.6</v>
      </c>
      <c r="T20" s="2244">
        <v>53</v>
      </c>
      <c r="U20" s="3"/>
      <c r="Y20" s="927"/>
      <c r="Z20" s="13"/>
      <c r="AA20" s="1"/>
      <c r="AB20" s="928"/>
      <c r="AD20" s="929"/>
    </row>
    <row r="21" spans="2:34" ht="12.75" customHeight="1">
      <c r="B21" s="596">
        <v>13</v>
      </c>
      <c r="C21" s="238" t="s">
        <v>53</v>
      </c>
      <c r="D21" s="160">
        <v>46.2</v>
      </c>
      <c r="E21" s="853">
        <f>'12-18л. РАСКЛАДКА'!W23</f>
        <v>0</v>
      </c>
      <c r="F21" s="77">
        <f>'12-18л. РАСКЛАДКА'!W82</f>
        <v>0</v>
      </c>
      <c r="G21" s="77">
        <f>'12-18л. РАСКЛАДКА'!W144</f>
        <v>122.5</v>
      </c>
      <c r="H21" s="77">
        <f>'12-18л. РАСКЛАДКА'!W201</f>
        <v>0</v>
      </c>
      <c r="I21" s="77">
        <f>'12-18л. РАСКЛАДКА'!W257</f>
        <v>82.67</v>
      </c>
      <c r="J21" s="77">
        <f>'12-18л. РАСКЛАДКА'!W312</f>
        <v>0</v>
      </c>
      <c r="K21" s="77">
        <f>'12-18л. РАСКЛАДКА'!W366</f>
        <v>0</v>
      </c>
      <c r="L21" s="77">
        <f>'12-18л. РАСКЛАДКА'!W417</f>
        <v>103.61</v>
      </c>
      <c r="M21" s="77">
        <f>'12-18л. РАСКЛАДКА'!W470</f>
        <v>108.5</v>
      </c>
      <c r="N21" s="77">
        <f>'12-18л. РАСКЛАДКА'!W525</f>
        <v>0</v>
      </c>
      <c r="O21" s="77">
        <f>'12-18л. РАСКЛАДКА'!W579</f>
        <v>83.22</v>
      </c>
      <c r="P21" s="2228">
        <f>'12-18л. РАСКЛАДКА'!W635</f>
        <v>53.9</v>
      </c>
      <c r="Q21" s="2251">
        <f t="shared" si="2"/>
        <v>554.4</v>
      </c>
      <c r="R21" s="2564">
        <f t="shared" si="0"/>
        <v>0</v>
      </c>
      <c r="S21" s="2243">
        <f t="shared" si="1"/>
        <v>554.40000000000009</v>
      </c>
      <c r="T21" s="2244">
        <v>77</v>
      </c>
      <c r="U21" s="3"/>
      <c r="Y21" s="927"/>
      <c r="Z21" s="13"/>
      <c r="AA21" s="1"/>
      <c r="AB21" s="928"/>
      <c r="AD21" s="929"/>
    </row>
    <row r="22" spans="2:34" ht="13.5" customHeight="1">
      <c r="B22" s="596">
        <v>14</v>
      </c>
      <c r="C22" s="238" t="s">
        <v>141</v>
      </c>
      <c r="D22" s="160">
        <v>24</v>
      </c>
      <c r="E22" s="853">
        <f>'12-18л. РАСКЛАДКА'!W24</f>
        <v>88.8</v>
      </c>
      <c r="F22" s="77">
        <f>'12-18л. РАСКЛАДКА'!W83</f>
        <v>0</v>
      </c>
      <c r="G22" s="77">
        <f>'12-18л. РАСКЛАДКА'!W145</f>
        <v>0</v>
      </c>
      <c r="H22" s="77">
        <f>'12-18л. РАСКЛАДКА'!W202</f>
        <v>0</v>
      </c>
      <c r="I22" s="77">
        <f>'12-18л. РАСКЛАДКА'!W258</f>
        <v>0</v>
      </c>
      <c r="J22" s="77">
        <f>'12-18л. РАСКЛАДКА'!W313</f>
        <v>79.2</v>
      </c>
      <c r="K22" s="77">
        <f>'12-18л. РАСКЛАДКА'!W367</f>
        <v>0</v>
      </c>
      <c r="L22" s="77">
        <f>'12-18л. РАСКЛАДКА'!W418</f>
        <v>120</v>
      </c>
      <c r="M22" s="77">
        <f>'12-18л. РАСКЛАДКА'!W471</f>
        <v>0</v>
      </c>
      <c r="N22" s="77">
        <f>'12-18л. РАСКЛАДКА'!W526</f>
        <v>0</v>
      </c>
      <c r="O22" s="77">
        <f>'12-18л. РАСКЛАДКА'!W580</f>
        <v>0</v>
      </c>
      <c r="P22" s="2228">
        <f>'12-18л. РАСКЛАДКА'!W636</f>
        <v>0</v>
      </c>
      <c r="Q22" s="2251">
        <f t="shared" si="2"/>
        <v>288</v>
      </c>
      <c r="R22" s="2564">
        <f t="shared" si="0"/>
        <v>0</v>
      </c>
      <c r="S22" s="2243">
        <f t="shared" si="1"/>
        <v>288</v>
      </c>
      <c r="T22" s="2244">
        <v>40</v>
      </c>
      <c r="U22" s="3"/>
      <c r="Y22" s="927"/>
      <c r="Z22" s="13"/>
      <c r="AA22" s="1"/>
      <c r="AB22" s="928"/>
      <c r="AD22" s="929"/>
    </row>
    <row r="23" spans="2:34" ht="12" customHeight="1">
      <c r="B23" s="596">
        <v>15</v>
      </c>
      <c r="C23" s="238" t="s">
        <v>295</v>
      </c>
      <c r="D23" s="160">
        <v>210</v>
      </c>
      <c r="E23" s="853">
        <f>'12-18л. РАСКЛАДКА'!W25</f>
        <v>415.8</v>
      </c>
      <c r="F23" s="77">
        <f>'12-18л. РАСКЛАДКА'!W84</f>
        <v>255</v>
      </c>
      <c r="G23" s="77">
        <f>'12-18л. РАСКЛАДКА'!W146</f>
        <v>18.239999999999998</v>
      </c>
      <c r="H23" s="77">
        <f>'12-18л. РАСКЛАДКА'!W203</f>
        <v>210</v>
      </c>
      <c r="I23" s="77">
        <f>'12-18л. РАСКЛАДКА'!W259</f>
        <v>79.260000000000005</v>
      </c>
      <c r="J23" s="77">
        <f>'12-18л. РАСКЛАДКА'!W314</f>
        <v>217</v>
      </c>
      <c r="K23" s="77">
        <f>'12-18л. РАСКЛАДКА'!W368</f>
        <v>253.54</v>
      </c>
      <c r="L23" s="77">
        <f>'12-18л. РАСКЛАДКА'!W419</f>
        <v>122.3</v>
      </c>
      <c r="M23" s="77">
        <f>'12-18л. РАСКЛАДКА'!W472</f>
        <v>25.7</v>
      </c>
      <c r="N23" s="77">
        <f>'12-18л. РАСКЛАДКА'!W527</f>
        <v>378</v>
      </c>
      <c r="O23" s="77">
        <f>'12-18л. РАСКЛАДКА'!W581</f>
        <v>226.1</v>
      </c>
      <c r="P23" s="2228">
        <f>'12-18л. РАСКЛАДКА'!W637</f>
        <v>16</v>
      </c>
      <c r="Q23" s="2251">
        <f t="shared" si="2"/>
        <v>2216.94</v>
      </c>
      <c r="R23" s="2564">
        <f t="shared" si="0"/>
        <v>-12.026190476190479</v>
      </c>
      <c r="S23" s="2243">
        <f t="shared" si="1"/>
        <v>2520</v>
      </c>
      <c r="T23" s="2244">
        <v>350</v>
      </c>
      <c r="U23" s="3"/>
      <c r="Y23" s="927"/>
      <c r="Z23" s="13"/>
      <c r="AA23" s="1"/>
      <c r="AB23" s="928"/>
      <c r="AD23" s="2225"/>
      <c r="AH23" s="176"/>
    </row>
    <row r="24" spans="2:34" ht="14.25" customHeight="1">
      <c r="B24" s="596">
        <v>16</v>
      </c>
      <c r="C24" s="238" t="s">
        <v>296</v>
      </c>
      <c r="D24" s="160">
        <v>108</v>
      </c>
      <c r="E24" s="854">
        <f>'12-18л. РАСКЛАДКА'!W26</f>
        <v>0</v>
      </c>
      <c r="F24" s="78">
        <f>'12-18л. РАСКЛАДКА'!W85</f>
        <v>0</v>
      </c>
      <c r="G24" s="79">
        <f>'12-18л. РАСКЛАДКА'!W147</f>
        <v>0</v>
      </c>
      <c r="H24" s="77">
        <f>'12-18л. РАСКЛАДКА'!W204</f>
        <v>0</v>
      </c>
      <c r="I24" s="80">
        <f>'12-18л. РАСКЛАДКА'!W260</f>
        <v>0</v>
      </c>
      <c r="J24" s="77">
        <f>'12-18л. РАСКЛАДКА'!W315</f>
        <v>0</v>
      </c>
      <c r="K24" s="77">
        <f>'12-18л. РАСКЛАДКА'!W369</f>
        <v>0</v>
      </c>
      <c r="L24" s="80">
        <f>'12-18л. РАСКЛАДКА'!W420</f>
        <v>0</v>
      </c>
      <c r="M24" s="78">
        <f>'12-18л. РАСКЛАДКА'!W473</f>
        <v>0</v>
      </c>
      <c r="N24" s="78">
        <f>'12-18л. РАСКЛАДКА'!W528</f>
        <v>0</v>
      </c>
      <c r="O24" s="80">
        <f>'12-18л. РАСКЛАДКА'!W582</f>
        <v>0</v>
      </c>
      <c r="P24" s="2228">
        <f>'12-18л. РАСКЛАДКА'!W638</f>
        <v>0</v>
      </c>
      <c r="Q24" s="2251">
        <f t="shared" si="2"/>
        <v>0</v>
      </c>
      <c r="R24" s="2564">
        <f t="shared" si="0"/>
        <v>-100</v>
      </c>
      <c r="S24" s="2243">
        <f t="shared" si="1"/>
        <v>1296</v>
      </c>
      <c r="T24" s="2244">
        <v>180</v>
      </c>
      <c r="U24" s="3"/>
      <c r="Y24" s="927"/>
      <c r="Z24" s="13"/>
      <c r="AA24" s="1"/>
      <c r="AB24" s="928"/>
      <c r="AD24" s="939"/>
      <c r="AH24" s="209"/>
    </row>
    <row r="25" spans="2:34">
      <c r="B25" s="596">
        <v>17</v>
      </c>
      <c r="C25" s="238" t="s">
        <v>297</v>
      </c>
      <c r="D25" s="160">
        <v>36</v>
      </c>
      <c r="E25" s="854">
        <f>'12-18л. РАСКЛАДКА'!W27</f>
        <v>0</v>
      </c>
      <c r="F25" s="78">
        <f>'12-18л. РАСКЛАДКА'!W86</f>
        <v>0</v>
      </c>
      <c r="G25" s="79">
        <f>'12-18л. РАСКЛАДКА'!W148</f>
        <v>0</v>
      </c>
      <c r="H25" s="77">
        <f>'12-18л. РАСКЛАДКА'!W205</f>
        <v>180</v>
      </c>
      <c r="I25" s="80">
        <f>'12-18л. РАСКЛАДКА'!W261</f>
        <v>126</v>
      </c>
      <c r="J25" s="77">
        <f>'12-18л. РАСКЛАДКА'!W316</f>
        <v>0</v>
      </c>
      <c r="K25" s="77">
        <f>'12-18л. РАСКЛАДКА'!W370</f>
        <v>0</v>
      </c>
      <c r="L25" s="80">
        <f>'12-18л. РАСКЛАДКА'!W421</f>
        <v>0</v>
      </c>
      <c r="M25" s="78">
        <f>'12-18л. РАСКЛАДКА'!W474</f>
        <v>0</v>
      </c>
      <c r="N25" s="78">
        <f>'12-18л. РАСКЛАДКА'!W529</f>
        <v>126</v>
      </c>
      <c r="O25" s="80">
        <f>'12-18л. РАСКЛАДКА'!W583</f>
        <v>0</v>
      </c>
      <c r="P25" s="2228">
        <f>'12-18л. РАСКЛАДКА'!W639</f>
        <v>0</v>
      </c>
      <c r="Q25" s="2251">
        <f t="shared" si="2"/>
        <v>432</v>
      </c>
      <c r="R25" s="2564">
        <f t="shared" si="0"/>
        <v>0</v>
      </c>
      <c r="S25" s="2243">
        <f t="shared" si="1"/>
        <v>432</v>
      </c>
      <c r="T25" s="2244">
        <v>60</v>
      </c>
      <c r="U25" s="3"/>
      <c r="Y25" s="927"/>
      <c r="Z25" s="13"/>
      <c r="AA25" s="1"/>
      <c r="AB25" s="928"/>
      <c r="AD25" s="929"/>
    </row>
    <row r="26" spans="2:34" ht="13.5" customHeight="1">
      <c r="B26" s="596">
        <v>18</v>
      </c>
      <c r="C26" s="238" t="s">
        <v>54</v>
      </c>
      <c r="D26" s="160">
        <v>9</v>
      </c>
      <c r="E26" s="854">
        <f>'12-18л. РАСКЛАДКА'!W28</f>
        <v>0</v>
      </c>
      <c r="F26" s="78">
        <f>'12-18л. РАСКЛАДКА'!W87</f>
        <v>17.5</v>
      </c>
      <c r="G26" s="79">
        <f>'12-18л. РАСКЛАДКА'!W149</f>
        <v>0</v>
      </c>
      <c r="H26" s="77">
        <f>'12-18л. РАСКЛАДКА'!W206</f>
        <v>30</v>
      </c>
      <c r="I26" s="80">
        <f>'12-18л. РАСКЛАДКА'!W262</f>
        <v>0</v>
      </c>
      <c r="J26" s="77">
        <f>'12-18л. РАСКЛАДКА'!W317</f>
        <v>15</v>
      </c>
      <c r="K26" s="77">
        <f>'12-18л. РАСКЛАДКА'!W371</f>
        <v>10</v>
      </c>
      <c r="L26" s="80">
        <f>'12-18л. РАСКЛАДКА'!W422</f>
        <v>5</v>
      </c>
      <c r="M26" s="78">
        <f>'12-18л. РАСКЛАДКА'!W475</f>
        <v>0</v>
      </c>
      <c r="N26" s="78">
        <f>'12-18л. РАСКЛАДКА'!W530</f>
        <v>20</v>
      </c>
      <c r="O26" s="80">
        <f>'12-18л. РАСКЛАДКА'!W584</f>
        <v>0</v>
      </c>
      <c r="P26" s="2228">
        <f>'12-18л. РАСКЛАДКА'!W640</f>
        <v>10.5</v>
      </c>
      <c r="Q26" s="2251">
        <f t="shared" si="2"/>
        <v>108</v>
      </c>
      <c r="R26" s="2564">
        <f t="shared" si="0"/>
        <v>0</v>
      </c>
      <c r="S26" s="2243">
        <f t="shared" si="1"/>
        <v>108</v>
      </c>
      <c r="T26" s="2244">
        <v>15</v>
      </c>
      <c r="U26" s="3"/>
      <c r="Y26" s="927"/>
      <c r="Z26" s="13"/>
      <c r="AA26" s="1"/>
      <c r="AB26" s="928"/>
      <c r="AD26" s="929"/>
    </row>
    <row r="27" spans="2:34" ht="12.75" customHeight="1">
      <c r="B27" s="596">
        <v>19</v>
      </c>
      <c r="C27" s="238" t="s">
        <v>298</v>
      </c>
      <c r="D27" s="160">
        <v>6</v>
      </c>
      <c r="E27" s="854">
        <f>'12-18л. РАСКЛАДКА'!W29</f>
        <v>6.8</v>
      </c>
      <c r="F27" s="78">
        <f>'12-18л. РАСКЛАДКА'!W88</f>
        <v>0</v>
      </c>
      <c r="G27" s="79">
        <f>'12-18л. РАСКЛАДКА'!W150</f>
        <v>1.35</v>
      </c>
      <c r="H27" s="77">
        <f>'12-18л. РАСКЛАДКА'!W207</f>
        <v>7.8</v>
      </c>
      <c r="I27" s="80">
        <f>'12-18л. РАСКЛАДКА'!W263</f>
        <v>17.5</v>
      </c>
      <c r="J27" s="77">
        <f>'12-18л. РАСКЛАДКА'!W318</f>
        <v>4.5999999999999996</v>
      </c>
      <c r="K27" s="77">
        <f>'12-18л. РАСКЛАДКА'!W372</f>
        <v>8.1</v>
      </c>
      <c r="L27" s="80">
        <f>'12-18л. РАСКЛАДКА'!W423</f>
        <v>2.2999999999999998</v>
      </c>
      <c r="M27" s="78">
        <f>'12-18л. РАСКЛАДКА'!W476</f>
        <v>2.2999999999999998</v>
      </c>
      <c r="N27" s="78">
        <f>'12-18л. РАСКЛАДКА'!W531</f>
        <v>8.75</v>
      </c>
      <c r="O27" s="80">
        <f>'12-18л. РАСКЛАДКА'!W585</f>
        <v>5</v>
      </c>
      <c r="P27" s="2228">
        <f>'12-18л. РАСКЛАДКА'!W641</f>
        <v>7.5</v>
      </c>
      <c r="Q27" s="2251">
        <f t="shared" si="2"/>
        <v>72</v>
      </c>
      <c r="R27" s="2564">
        <f t="shared" si="0"/>
        <v>0</v>
      </c>
      <c r="S27" s="2243">
        <f t="shared" si="1"/>
        <v>72</v>
      </c>
      <c r="T27" s="2244">
        <v>10</v>
      </c>
      <c r="U27" s="3"/>
      <c r="Y27" s="927"/>
      <c r="Z27" s="13"/>
      <c r="AA27" s="1"/>
      <c r="AB27" s="928"/>
      <c r="AD27" s="933"/>
    </row>
    <row r="28" spans="2:34">
      <c r="B28" s="596">
        <v>20</v>
      </c>
      <c r="C28" s="238" t="s">
        <v>55</v>
      </c>
      <c r="D28" s="160">
        <v>21</v>
      </c>
      <c r="E28" s="854">
        <f>'12-18л. РАСКЛАДКА'!W30</f>
        <v>28.2</v>
      </c>
      <c r="F28" s="78">
        <f>'12-18л. РАСКЛАДКА'!W89</f>
        <v>10</v>
      </c>
      <c r="G28" s="79">
        <f>'12-18л. РАСКЛАДКА'!W151</f>
        <v>17.689999999999998</v>
      </c>
      <c r="H28" s="77">
        <f>'12-18л. РАСКЛАДКА'!W208</f>
        <v>22.8</v>
      </c>
      <c r="I28" s="80">
        <f>'12-18л. РАСКЛАДКА'!W264</f>
        <v>32.08</v>
      </c>
      <c r="J28" s="77">
        <f>'12-18л. РАСКЛАДКА'!W319</f>
        <v>20.399999999999999</v>
      </c>
      <c r="K28" s="77">
        <f>'12-18л. РАСКЛАДКА'!W373</f>
        <v>13.49</v>
      </c>
      <c r="L28" s="80">
        <f>'12-18л. РАСКЛАДКА'!W424</f>
        <v>23.119999999999997</v>
      </c>
      <c r="M28" s="78">
        <f>'12-18л. РАСКЛАДКА'!W477</f>
        <v>8.5</v>
      </c>
      <c r="N28" s="78">
        <f>'12-18л. РАСКЛАДКА'!W532</f>
        <v>37.299999999999997</v>
      </c>
      <c r="O28" s="80">
        <f>'12-18л. РАСКЛАДКА'!W586</f>
        <v>17.600000000000001</v>
      </c>
      <c r="P28" s="2228">
        <f>'12-18л. РАСКЛАДКА'!W642</f>
        <v>20.82</v>
      </c>
      <c r="Q28" s="2251">
        <f t="shared" si="2"/>
        <v>251.99999999999997</v>
      </c>
      <c r="R28" s="2564">
        <f t="shared" si="0"/>
        <v>0</v>
      </c>
      <c r="S28" s="2243">
        <f t="shared" si="1"/>
        <v>252</v>
      </c>
      <c r="T28" s="2244">
        <v>35</v>
      </c>
      <c r="U28" s="3"/>
      <c r="Y28" s="927"/>
      <c r="Z28" s="13"/>
      <c r="AA28" s="1"/>
      <c r="AB28" s="928"/>
      <c r="AD28" s="929"/>
    </row>
    <row r="29" spans="2:34" ht="13.5" customHeight="1">
      <c r="B29" s="596">
        <v>21</v>
      </c>
      <c r="C29" s="238" t="s">
        <v>56</v>
      </c>
      <c r="D29" s="160">
        <v>10.8</v>
      </c>
      <c r="E29" s="854">
        <f>'12-18л. РАСКЛАДКА'!W31</f>
        <v>7.2</v>
      </c>
      <c r="F29" s="78">
        <f>'12-18л. РАСКЛАДКА'!W90</f>
        <v>12.8</v>
      </c>
      <c r="G29" s="79">
        <f>'12-18л. РАСКЛАДКА'!W152</f>
        <v>15.260000000000002</v>
      </c>
      <c r="H29" s="77">
        <f>'12-18л. РАСКЛАДКА'!W209</f>
        <v>7.2</v>
      </c>
      <c r="I29" s="80">
        <f>'12-18л. РАСКЛАДКА'!W265</f>
        <v>7.2</v>
      </c>
      <c r="J29" s="77">
        <f>'12-18л. РАСКЛАДКА'!W320</f>
        <v>5</v>
      </c>
      <c r="K29" s="77">
        <f>'12-18л. РАСКЛАДКА'!W374</f>
        <v>9.4400000000000013</v>
      </c>
      <c r="L29" s="80">
        <f>'12-18л. РАСКЛАДКА'!W425</f>
        <v>18.54</v>
      </c>
      <c r="M29" s="78">
        <f>'12-18л. РАСКЛАДКА'!W478</f>
        <v>19.8</v>
      </c>
      <c r="N29" s="78">
        <f>'12-18л. РАСКЛАДКА'!W533</f>
        <v>5</v>
      </c>
      <c r="O29" s="80">
        <f>'12-18л. РАСКЛАДКА'!W587</f>
        <v>7.4</v>
      </c>
      <c r="P29" s="2228">
        <f>'12-18л. РАСКЛАДКА'!W643</f>
        <v>14.76</v>
      </c>
      <c r="Q29" s="2251">
        <f t="shared" si="2"/>
        <v>129.60000000000002</v>
      </c>
      <c r="R29" s="2564">
        <f t="shared" si="0"/>
        <v>0</v>
      </c>
      <c r="S29" s="2243">
        <f t="shared" si="1"/>
        <v>129.60000000000002</v>
      </c>
      <c r="T29" s="2244">
        <v>18</v>
      </c>
      <c r="U29" s="3"/>
      <c r="Y29" s="927"/>
      <c r="Z29" s="13"/>
      <c r="AA29" s="1"/>
      <c r="AB29" s="928"/>
      <c r="AD29" s="929"/>
    </row>
    <row r="30" spans="2:34" ht="12" customHeight="1">
      <c r="B30" s="596">
        <v>22</v>
      </c>
      <c r="C30" s="238" t="s">
        <v>299</v>
      </c>
      <c r="D30" s="160">
        <v>24</v>
      </c>
      <c r="E30" s="854">
        <f>'12-18л. РАСКЛАДКА'!W32</f>
        <v>0</v>
      </c>
      <c r="F30" s="78">
        <f>'12-18л. РАСКЛАДКА'!W91</f>
        <v>117.28</v>
      </c>
      <c r="G30" s="79">
        <f>'12-18л. РАСКЛАДКА'!W153</f>
        <v>0.92</v>
      </c>
      <c r="H30" s="77">
        <f>'12-18л. РАСКЛАДКА'!W210</f>
        <v>7.8</v>
      </c>
      <c r="I30" s="80">
        <f>'12-18л. РАСКЛАДКА'!W266</f>
        <v>12.12</v>
      </c>
      <c r="J30" s="77">
        <f>'12-18л. РАСКЛАДКА'!W321</f>
        <v>0</v>
      </c>
      <c r="K30" s="77">
        <f>'12-18л. РАСКЛАДКА'!W375</f>
        <v>97.4</v>
      </c>
      <c r="L30" s="80">
        <f>'12-18л. РАСКЛАДКА'!W426</f>
        <v>9.68</v>
      </c>
      <c r="M30" s="78">
        <f>'12-18л. РАСКЛАДКА'!W479</f>
        <v>4</v>
      </c>
      <c r="N30" s="78">
        <f>'12-18л. РАСКЛАДКА'!W534</f>
        <v>11.2</v>
      </c>
      <c r="O30" s="80">
        <f>'12-18л. РАСКЛАДКА'!W588</f>
        <v>0</v>
      </c>
      <c r="P30" s="2228">
        <f>'12-18л. РАСКЛАДКА'!W644</f>
        <v>27.6</v>
      </c>
      <c r="Q30" s="2251">
        <f t="shared" si="2"/>
        <v>288.00000000000006</v>
      </c>
      <c r="R30" s="2564">
        <f t="shared" si="0"/>
        <v>0</v>
      </c>
      <c r="S30" s="2243">
        <f t="shared" si="1"/>
        <v>288</v>
      </c>
      <c r="T30" s="2244">
        <v>40</v>
      </c>
      <c r="U30" s="3"/>
      <c r="Y30" s="927"/>
      <c r="Z30" s="13"/>
      <c r="AA30" s="1"/>
      <c r="AB30" s="928"/>
      <c r="AD30" s="929"/>
    </row>
    <row r="31" spans="2:34" ht="13.5" customHeight="1">
      <c r="B31" s="596">
        <v>23</v>
      </c>
      <c r="C31" s="238" t="s">
        <v>57</v>
      </c>
      <c r="D31" s="160">
        <v>21</v>
      </c>
      <c r="E31" s="854">
        <f>'12-18л. РАСКЛАДКА'!W33</f>
        <v>33.799999999999997</v>
      </c>
      <c r="F31" s="78">
        <f>'12-18л. РАСКЛАДКА'!W92</f>
        <v>30.7</v>
      </c>
      <c r="G31" s="79">
        <f>'12-18л. РАСКЛАДКА'!W154</f>
        <v>7.7</v>
      </c>
      <c r="H31" s="77">
        <f>'12-18л. РАСКЛАДКА'!W211</f>
        <v>41.5</v>
      </c>
      <c r="I31" s="80">
        <f>'12-18л. РАСКЛАДКА'!W267</f>
        <v>13</v>
      </c>
      <c r="J31" s="77">
        <f>'12-18л. РАСКЛАДКА'!W322</f>
        <v>12.5</v>
      </c>
      <c r="K31" s="77">
        <f>'12-18л. РАСКЛАДКА'!W376</f>
        <v>5</v>
      </c>
      <c r="L31" s="80">
        <f>'12-18л. РАСКЛАДКА'!W427</f>
        <v>13</v>
      </c>
      <c r="M31" s="78">
        <f>'12-18л. РАСКЛАДКА'!W480</f>
        <v>26.1</v>
      </c>
      <c r="N31" s="78">
        <f>'12-18л. РАСКЛАДКА'!W535</f>
        <v>17.7</v>
      </c>
      <c r="O31" s="80">
        <f>'12-18л. РАСКЛАДКА'!W589</f>
        <v>27</v>
      </c>
      <c r="P31" s="2228">
        <f>'12-18л. РАСКЛАДКА'!W645</f>
        <v>22.4</v>
      </c>
      <c r="Q31" s="2251">
        <f t="shared" si="2"/>
        <v>250.39999999999998</v>
      </c>
      <c r="R31" s="2564">
        <f t="shared" si="0"/>
        <v>-0.63492063492064688</v>
      </c>
      <c r="S31" s="2243">
        <f t="shared" si="1"/>
        <v>252</v>
      </c>
      <c r="T31" s="2244">
        <v>35</v>
      </c>
      <c r="U31" s="3"/>
      <c r="Y31" s="927"/>
      <c r="Z31" s="13"/>
      <c r="AA31" s="1"/>
      <c r="AB31" s="928"/>
      <c r="AD31" s="929"/>
    </row>
    <row r="32" spans="2:34" ht="12.75" customHeight="1">
      <c r="B32" s="596">
        <v>24</v>
      </c>
      <c r="C32" s="238" t="s">
        <v>58</v>
      </c>
      <c r="D32" s="160">
        <v>9</v>
      </c>
      <c r="E32" s="854">
        <f>'12-18л. РАСКЛАДКА'!W34</f>
        <v>45</v>
      </c>
      <c r="F32" s="78">
        <f>'12-18л. РАСКЛАДКА'!W93</f>
        <v>0</v>
      </c>
      <c r="G32" s="79">
        <f>'12-18л. РАСКЛАДКА'!W155</f>
        <v>0</v>
      </c>
      <c r="H32" s="77">
        <f>'12-18л. РАСКЛАДКА'!W212</f>
        <v>0</v>
      </c>
      <c r="I32" s="80">
        <f>'12-18л. РАСКЛАДКА'!W268</f>
        <v>0</v>
      </c>
      <c r="J32" s="77">
        <f>'12-18л. РАСКЛАДКА'!W323</f>
        <v>0</v>
      </c>
      <c r="K32" s="77">
        <f>'12-18л. РАСКЛАДКА'!W377</f>
        <v>0</v>
      </c>
      <c r="L32" s="80">
        <f>'12-18л. РАСКЛАДКА'!W428</f>
        <v>0</v>
      </c>
      <c r="M32" s="78">
        <f>'12-18л. РАСКЛАДКА'!W481</f>
        <v>0</v>
      </c>
      <c r="N32" s="78">
        <f>'12-18л. РАСКЛАДКА'!W536</f>
        <v>60</v>
      </c>
      <c r="O32" s="80">
        <f>'12-18л. РАСКЛАДКА'!W590</f>
        <v>0</v>
      </c>
      <c r="P32" s="2228">
        <f>'12-18л. РАСКЛАДКА'!W646</f>
        <v>0</v>
      </c>
      <c r="Q32" s="2251">
        <f t="shared" si="2"/>
        <v>105</v>
      </c>
      <c r="R32" s="2564">
        <f t="shared" si="0"/>
        <v>-2.7777777777777715</v>
      </c>
      <c r="S32" s="2243">
        <f t="shared" si="1"/>
        <v>108</v>
      </c>
      <c r="T32" s="2244">
        <v>15</v>
      </c>
      <c r="U32" s="3"/>
      <c r="Y32" s="927"/>
      <c r="Z32" s="13"/>
      <c r="AA32" s="1"/>
      <c r="AB32" s="928"/>
      <c r="AD32" s="939"/>
    </row>
    <row r="33" spans="2:34" ht="12" customHeight="1">
      <c r="B33" s="596">
        <v>25</v>
      </c>
      <c r="C33" s="238" t="s">
        <v>59</v>
      </c>
      <c r="D33" s="160">
        <v>1.2</v>
      </c>
      <c r="E33" s="854">
        <f>'12-18л. РАСКЛАДКА'!W35</f>
        <v>1</v>
      </c>
      <c r="F33" s="78">
        <f>'12-18л. РАСКЛАДКА'!W94</f>
        <v>0</v>
      </c>
      <c r="G33" s="79">
        <f>'12-18л. РАСКЛАДКА'!W156</f>
        <v>0</v>
      </c>
      <c r="H33" s="77">
        <f>'12-18л. РАСКЛАДКА'!W213</f>
        <v>1</v>
      </c>
      <c r="I33" s="80">
        <f>'12-18л. РАСКЛАДКА'!W269</f>
        <v>0</v>
      </c>
      <c r="J33" s="77">
        <f>'12-18л. РАСКЛАДКА'!W324</f>
        <v>1</v>
      </c>
      <c r="K33" s="77">
        <f>'12-18л. РАСКЛАДКА'!W378</f>
        <v>0</v>
      </c>
      <c r="L33" s="80">
        <f>'12-18л. РАСКЛАДКА'!W429</f>
        <v>0</v>
      </c>
      <c r="M33" s="78">
        <f>'12-18л. РАСКЛАДКА'!W482</f>
        <v>0</v>
      </c>
      <c r="N33" s="78">
        <f>'12-18л. РАСКЛАДКА'!W537</f>
        <v>0</v>
      </c>
      <c r="O33" s="80">
        <f>'12-18л. РАСКЛАДКА'!W591</f>
        <v>1</v>
      </c>
      <c r="P33" s="2228">
        <f>'12-18л. РАСКЛАДКА'!W647</f>
        <v>0</v>
      </c>
      <c r="Q33" s="2248">
        <f t="shared" si="2"/>
        <v>4</v>
      </c>
      <c r="R33" s="2564">
        <f t="shared" si="0"/>
        <v>-72.222222222222214</v>
      </c>
      <c r="S33" s="2243">
        <f t="shared" si="1"/>
        <v>14.399999999999999</v>
      </c>
      <c r="T33" s="2244">
        <v>2</v>
      </c>
      <c r="U33" s="3"/>
      <c r="Y33" s="927"/>
      <c r="Z33" s="13"/>
      <c r="AA33" s="1"/>
      <c r="AB33" s="928"/>
      <c r="AD33" s="939"/>
      <c r="AH33" s="176"/>
    </row>
    <row r="34" spans="2:34" ht="15.75" customHeight="1">
      <c r="B34" s="596">
        <v>26</v>
      </c>
      <c r="C34" s="238" t="s">
        <v>300</v>
      </c>
      <c r="D34" s="160">
        <v>0.72</v>
      </c>
      <c r="E34" s="854">
        <f>'12-18л. РАСКЛАДКА'!W36</f>
        <v>2.7</v>
      </c>
      <c r="F34" s="78">
        <f>'12-18л. РАСКЛАДКА'!W95</f>
        <v>0</v>
      </c>
      <c r="G34" s="79">
        <f>'12-18л. РАСКЛАДКА'!W157</f>
        <v>0</v>
      </c>
      <c r="H34" s="77">
        <f>'12-18л. РАСКЛАДКА'!W214</f>
        <v>2.7</v>
      </c>
      <c r="I34" s="80">
        <f>'12-18л. РАСКЛАДКА'!W270</f>
        <v>0</v>
      </c>
      <c r="J34" s="77">
        <f>'12-18л. РАСКЛАДКА'!W325</f>
        <v>0</v>
      </c>
      <c r="K34" s="77">
        <f>'12-18л. РАСКЛАДКА'!W379</f>
        <v>0</v>
      </c>
      <c r="L34" s="80">
        <f>'12-18л. РАСКЛАДКА'!W430</f>
        <v>0</v>
      </c>
      <c r="M34" s="78">
        <f>'12-18л. РАСКЛАДКА'!W483</f>
        <v>0</v>
      </c>
      <c r="N34" s="78">
        <f>'12-18л. РАСКЛАДКА'!W538</f>
        <v>3.24</v>
      </c>
      <c r="O34" s="80">
        <f>'12-18л. РАСКЛАДКА'!W592</f>
        <v>0</v>
      </c>
      <c r="P34" s="2228">
        <f>'12-18л. РАСКЛАДКА'!W648</f>
        <v>0</v>
      </c>
      <c r="Q34" s="2251">
        <f t="shared" si="2"/>
        <v>8.64</v>
      </c>
      <c r="R34" s="2564">
        <f t="shared" si="0"/>
        <v>0</v>
      </c>
      <c r="S34" s="2243">
        <f t="shared" si="1"/>
        <v>8.64</v>
      </c>
      <c r="T34" s="2244">
        <v>1.2</v>
      </c>
      <c r="U34" s="3"/>
      <c r="Y34" s="927"/>
      <c r="Z34" s="13"/>
      <c r="AA34" s="1"/>
      <c r="AB34" s="928"/>
      <c r="AD34" s="941"/>
    </row>
    <row r="35" spans="2:34" ht="12" customHeight="1">
      <c r="B35" s="596">
        <v>27</v>
      </c>
      <c r="C35" s="238" t="s">
        <v>142</v>
      </c>
      <c r="D35" s="160">
        <v>1.2</v>
      </c>
      <c r="E35" s="854">
        <f>'12-18л. РАСКЛАДКА'!W37</f>
        <v>0</v>
      </c>
      <c r="F35" s="78">
        <f>'12-18л. РАСКЛАДКА'!W96</f>
        <v>4.2</v>
      </c>
      <c r="G35" s="79">
        <f>'12-18л. РАСКЛАДКА'!W158</f>
        <v>0</v>
      </c>
      <c r="H35" s="77">
        <f>'12-18л. РАСКЛАДКА'!W215</f>
        <v>0</v>
      </c>
      <c r="I35" s="80">
        <f>'12-18л. РАСКЛАДКА'!W271</f>
        <v>0</v>
      </c>
      <c r="J35" s="77">
        <f>'12-18л. РАСКЛАДКА'!W326</f>
        <v>0</v>
      </c>
      <c r="K35" s="77">
        <f>'12-18л. РАСКЛАДКА'!W380</f>
        <v>6</v>
      </c>
      <c r="L35" s="80">
        <f>'12-18л. РАСКЛАДКА'!W431</f>
        <v>0</v>
      </c>
      <c r="M35" s="78">
        <f>'12-18л. РАСКЛАДКА'!W484</f>
        <v>0</v>
      </c>
      <c r="N35" s="78">
        <f>'12-18л. РАСКЛАДКА'!W539</f>
        <v>0</v>
      </c>
      <c r="O35" s="80">
        <f>'12-18л. РАСКЛАДКА'!W593</f>
        <v>4.2</v>
      </c>
      <c r="P35" s="2228">
        <f>'12-18л. РАСКЛАДКА'!W649</f>
        <v>0</v>
      </c>
      <c r="Q35" s="2251">
        <f t="shared" si="2"/>
        <v>14.399999999999999</v>
      </c>
      <c r="R35" s="2564">
        <f t="shared" si="0"/>
        <v>0</v>
      </c>
      <c r="S35" s="2243">
        <f t="shared" si="1"/>
        <v>14.399999999999999</v>
      </c>
      <c r="T35" s="2244">
        <v>2</v>
      </c>
      <c r="U35" s="3"/>
      <c r="Y35" s="927"/>
      <c r="Z35" s="13"/>
      <c r="AA35" s="1"/>
      <c r="AB35" s="928"/>
      <c r="AD35" s="941"/>
    </row>
    <row r="36" spans="2:34" ht="12" customHeight="1">
      <c r="B36" s="596">
        <v>28</v>
      </c>
      <c r="C36" s="238" t="s">
        <v>60</v>
      </c>
      <c r="D36" s="160">
        <v>0.18</v>
      </c>
      <c r="E36" s="854">
        <f>'12-18л. РАСКЛАДКА'!W38</f>
        <v>0</v>
      </c>
      <c r="F36" s="78">
        <f>'12-18л. РАСКЛАДКА'!W97</f>
        <v>0</v>
      </c>
      <c r="G36" s="79">
        <f>'12-18л. РАСКЛАДКА'!W159</f>
        <v>0</v>
      </c>
      <c r="H36" s="77">
        <f>'12-18л. РАСКЛАДКА'!W216</f>
        <v>0</v>
      </c>
      <c r="I36" s="80">
        <f>'12-18л. РАСКЛАДКА'!W272</f>
        <v>0</v>
      </c>
      <c r="J36" s="77">
        <f>'12-18л. РАСКЛАДКА'!W327</f>
        <v>0</v>
      </c>
      <c r="K36" s="77">
        <f>'12-18л. РАСКЛАДКА'!W381</f>
        <v>0</v>
      </c>
      <c r="L36" s="80">
        <f>'12-18л. РАСКЛАДКА'!W432</f>
        <v>0</v>
      </c>
      <c r="M36" s="78">
        <f>'12-18л. РАСКЛАДКА'!W485</f>
        <v>0</v>
      </c>
      <c r="N36" s="78">
        <f>'12-18л. РАСКЛАДКА'!W540</f>
        <v>0</v>
      </c>
      <c r="O36" s="80">
        <f>'12-18л. РАСКЛАДКА'!W594</f>
        <v>0</v>
      </c>
      <c r="P36" s="2228">
        <f>'12-18л. РАСКЛАДКА'!W650</f>
        <v>0</v>
      </c>
      <c r="Q36" s="2251">
        <f t="shared" si="2"/>
        <v>0</v>
      </c>
      <c r="R36" s="2564">
        <f t="shared" si="0"/>
        <v>-100</v>
      </c>
      <c r="S36" s="2243">
        <f t="shared" si="1"/>
        <v>2.16</v>
      </c>
      <c r="T36" s="2244">
        <v>0.3</v>
      </c>
      <c r="U36" s="3"/>
      <c r="Y36" s="927"/>
      <c r="Z36" s="13"/>
      <c r="AA36" s="1"/>
      <c r="AB36" s="928"/>
      <c r="AD36" s="2226"/>
    </row>
    <row r="37" spans="2:34" ht="12.75" customHeight="1">
      <c r="B37" s="596">
        <v>29</v>
      </c>
      <c r="C37" s="641" t="s">
        <v>301</v>
      </c>
      <c r="D37" s="160">
        <v>3</v>
      </c>
      <c r="E37" s="854">
        <f>'12-18л. РАСКЛАДКА'!W39</f>
        <v>2.7</v>
      </c>
      <c r="F37" s="78">
        <f>'12-18л. РАСКЛАДКА'!W98</f>
        <v>3.0999999999999996</v>
      </c>
      <c r="G37" s="79">
        <f>'12-18л. РАСКЛАДКА'!W160</f>
        <v>3.2</v>
      </c>
      <c r="H37" s="77">
        <f>'12-18л. РАСКЛАДКА'!W217</f>
        <v>1.1000000000000001</v>
      </c>
      <c r="I37" s="80">
        <f>'12-18л. РАСКЛАДКА'!W273</f>
        <v>4.5999999999999996</v>
      </c>
      <c r="J37" s="77">
        <f>'12-18л. РАСКЛАДКА'!W328</f>
        <v>2.65</v>
      </c>
      <c r="K37" s="77">
        <f>'12-18л. РАСКЛАДКА'!W382</f>
        <v>2.1</v>
      </c>
      <c r="L37" s="80">
        <f>'12-18л. РАСКЛАДКА'!W433</f>
        <v>3.62</v>
      </c>
      <c r="M37" s="78">
        <f>'12-18л. РАСКЛАДКА'!W486</f>
        <v>3</v>
      </c>
      <c r="N37" s="78">
        <f>'12-18л. РАСКЛАДКА'!W541</f>
        <v>2.25</v>
      </c>
      <c r="O37" s="80">
        <f>'12-18л. РАСКЛАДКА'!W595</f>
        <v>3.59</v>
      </c>
      <c r="P37" s="2228">
        <f>'12-18л. РАСКЛАДКА'!W651</f>
        <v>4.09</v>
      </c>
      <c r="Q37" s="2251">
        <f t="shared" si="2"/>
        <v>36</v>
      </c>
      <c r="R37" s="2564">
        <f t="shared" si="0"/>
        <v>0</v>
      </c>
      <c r="S37" s="2243">
        <f t="shared" si="1"/>
        <v>36</v>
      </c>
      <c r="T37" s="2244">
        <v>5</v>
      </c>
      <c r="U37" s="3"/>
      <c r="Y37" s="927"/>
      <c r="Z37" s="13"/>
      <c r="AA37" s="1"/>
      <c r="AB37" s="928"/>
      <c r="AD37" s="941"/>
    </row>
    <row r="38" spans="2:34" ht="13.5" customHeight="1">
      <c r="B38" s="596">
        <v>30</v>
      </c>
      <c r="C38" s="238" t="s">
        <v>143</v>
      </c>
      <c r="D38" s="160">
        <v>2.4</v>
      </c>
      <c r="E38" s="854">
        <f>'12-18л. РАСКЛАДКА'!W40</f>
        <v>0</v>
      </c>
      <c r="F38" s="78">
        <f>'12-18л. РАСКЛАДКА'!W99</f>
        <v>0</v>
      </c>
      <c r="G38" s="79">
        <f>'12-18л. РАСКЛАДКА'!W161</f>
        <v>0</v>
      </c>
      <c r="H38" s="77">
        <f>'12-18л. РАСКЛАДКА'!W218</f>
        <v>0</v>
      </c>
      <c r="I38" s="80">
        <f>'12-18л. РАСКЛАДКА'!W274</f>
        <v>14.4</v>
      </c>
      <c r="J38" s="77">
        <f>'12-18л. РАСКЛАДКА'!W329</f>
        <v>0</v>
      </c>
      <c r="K38" s="77">
        <f>'12-18л. РАСКЛАДКА'!W383</f>
        <v>0</v>
      </c>
      <c r="L38" s="80">
        <f>'12-18л. РАСКЛАДКА'!W434</f>
        <v>0</v>
      </c>
      <c r="M38" s="78">
        <f>'12-18л. РАСКЛАДКА'!W487</f>
        <v>10</v>
      </c>
      <c r="N38" s="78">
        <f>'12-18л. РАСКЛАДКА'!W542</f>
        <v>4.4000000000000004</v>
      </c>
      <c r="O38" s="80">
        <f>'12-18л. РАСКЛАДКА'!W596</f>
        <v>0</v>
      </c>
      <c r="P38" s="2228">
        <f>'12-18л. РАСКЛАДКА'!W652</f>
        <v>0</v>
      </c>
      <c r="Q38" s="2245">
        <f t="shared" si="2"/>
        <v>28.799999999999997</v>
      </c>
      <c r="R38" s="2564">
        <f t="shared" si="0"/>
        <v>0</v>
      </c>
      <c r="S38" s="2243">
        <f t="shared" si="1"/>
        <v>28.799999999999997</v>
      </c>
      <c r="T38" s="2244">
        <v>4</v>
      </c>
      <c r="U38" s="3"/>
      <c r="Y38" s="927"/>
      <c r="Z38" s="13"/>
      <c r="AA38" s="1"/>
      <c r="AB38" s="928"/>
      <c r="AD38" s="939"/>
      <c r="AH38" s="176"/>
    </row>
    <row r="39" spans="2:34" ht="11.25" customHeight="1">
      <c r="B39" s="596">
        <v>31</v>
      </c>
      <c r="C39" s="238" t="s">
        <v>144</v>
      </c>
      <c r="D39" s="160">
        <v>1.2</v>
      </c>
      <c r="E39" s="854">
        <f>'12-18л. РАСКЛАДКА'!W41</f>
        <v>1.1112000000000002</v>
      </c>
      <c r="F39" s="78">
        <f>'12-18л. РАСКЛАДКА'!W100</f>
        <v>2.0099999999999998</v>
      </c>
      <c r="G39" s="227">
        <f>'12-18л. РАСКЛАДКА'!W162</f>
        <v>1.591</v>
      </c>
      <c r="H39" s="77">
        <f>'12-18л. РАСКЛАДКА'!W219</f>
        <v>1.0289999999999999</v>
      </c>
      <c r="I39" s="80">
        <f>'12-18л. РАСКЛАДКА'!W275</f>
        <v>1.58572</v>
      </c>
      <c r="J39" s="77">
        <f>'12-18л. РАСКЛАДКА'!W330</f>
        <v>0.01</v>
      </c>
      <c r="K39" s="77">
        <f>'12-18л. РАСКЛАДКА'!W384</f>
        <v>1.8150000000000003E-2</v>
      </c>
      <c r="L39" s="80">
        <f>'12-18л. РАСКЛАДКА'!W435</f>
        <v>0.21125000000000002</v>
      </c>
      <c r="M39" s="190">
        <f>'12-18л. РАСКЛАДКА'!W488</f>
        <v>1.3688</v>
      </c>
      <c r="N39" s="228">
        <f>'12-18л. РАСКЛАДКА'!W543</f>
        <v>1.0999999999999999E-2</v>
      </c>
      <c r="O39" s="80">
        <f>'12-18л. РАСКЛАДКА'!W597</f>
        <v>2.7499799999999999</v>
      </c>
      <c r="P39" s="2228">
        <f>'12-18л. РАСКЛАДКА'!W653</f>
        <v>2.7039</v>
      </c>
      <c r="Q39" s="2248">
        <f t="shared" si="2"/>
        <v>14.399999999999999</v>
      </c>
      <c r="R39" s="2564">
        <f t="shared" si="0"/>
        <v>0</v>
      </c>
      <c r="S39" s="2243">
        <f t="shared" si="1"/>
        <v>14.399999999999999</v>
      </c>
      <c r="T39" s="2244">
        <v>2</v>
      </c>
      <c r="U39" s="3"/>
      <c r="Y39" s="927"/>
      <c r="Z39" s="13"/>
      <c r="AA39" s="1"/>
      <c r="AB39" s="928"/>
      <c r="AD39" s="2223"/>
    </row>
    <row r="40" spans="2:34" ht="13.5" customHeight="1">
      <c r="B40" s="596">
        <v>32</v>
      </c>
      <c r="C40" s="238" t="s">
        <v>62</v>
      </c>
      <c r="D40" s="160">
        <v>54</v>
      </c>
      <c r="E40" s="182">
        <f>'12-18л. МЕНЮ  '!E100</f>
        <v>57.736600000000003</v>
      </c>
      <c r="F40" s="108">
        <f>'12-18л. МЕНЮ  '!E153</f>
        <v>52.41</v>
      </c>
      <c r="G40" s="108">
        <f>'12-18л. МЕНЮ  '!E211</f>
        <v>53.765299999999996</v>
      </c>
      <c r="H40" s="108">
        <f>'12-18л. МЕНЮ  '!E263</f>
        <v>55.716999999999999</v>
      </c>
      <c r="I40" s="108">
        <f>'12-18л. МЕНЮ  '!E318</f>
        <v>54.201000000000008</v>
      </c>
      <c r="J40" s="108">
        <f>'12-18л. МЕНЮ  '!E373</f>
        <v>50.170099999999998</v>
      </c>
      <c r="K40" s="108">
        <f>'12-18л. МЕНЮ  '!E486</f>
        <v>56.834000000000003</v>
      </c>
      <c r="L40" s="108">
        <f>'12-18л. МЕНЮ  '!E541</f>
        <v>52.887</v>
      </c>
      <c r="M40" s="108">
        <f>'12-18л. МЕНЮ  '!E595</f>
        <v>51.390999999999998</v>
      </c>
      <c r="N40" s="108">
        <f>'12-18л. МЕНЮ  '!E650</f>
        <v>53.741</v>
      </c>
      <c r="O40" s="108">
        <f>'12-18л. МЕНЮ  '!E703</f>
        <v>53.568749999999994</v>
      </c>
      <c r="P40" s="1508">
        <f>'12-18л. МЕНЮ  '!E760</f>
        <v>55.578249999999997</v>
      </c>
      <c r="Q40" s="2248">
        <f t="shared" si="2"/>
        <v>648.00000000000011</v>
      </c>
      <c r="R40" s="2564">
        <f t="shared" si="0"/>
        <v>0</v>
      </c>
      <c r="S40" s="2243">
        <f t="shared" si="1"/>
        <v>648</v>
      </c>
      <c r="T40" s="2244">
        <v>90</v>
      </c>
      <c r="U40" s="3"/>
      <c r="Y40" s="945"/>
      <c r="Z40" s="13"/>
      <c r="AA40" s="1"/>
      <c r="AB40" s="928"/>
      <c r="AD40" s="941"/>
    </row>
    <row r="41" spans="2:34" ht="12.75" customHeight="1">
      <c r="B41" s="596">
        <v>33</v>
      </c>
      <c r="C41" s="238" t="s">
        <v>63</v>
      </c>
      <c r="D41" s="160">
        <v>55.2</v>
      </c>
      <c r="E41" s="182">
        <f>'12-18л. МЕНЮ  '!F100</f>
        <v>55.789000000000001</v>
      </c>
      <c r="F41" s="108">
        <f>'12-18л. МЕНЮ  '!F153</f>
        <v>54.704000000000001</v>
      </c>
      <c r="G41" s="108">
        <f>'12-18л. МЕНЮ  '!F211</f>
        <v>55.192300000000003</v>
      </c>
      <c r="H41" s="108">
        <f>'12-18л. МЕНЮ  '!F263</f>
        <v>55.430000000000007</v>
      </c>
      <c r="I41" s="108">
        <f>'12-18л. МЕНЮ  '!F318</f>
        <v>54.156999999999996</v>
      </c>
      <c r="J41" s="108">
        <f>'12-18л. МЕНЮ  '!F373</f>
        <v>55.927999999999997</v>
      </c>
      <c r="K41" s="108">
        <f>'12-18л. МЕНЮ  '!F486</f>
        <v>56.498999999999995</v>
      </c>
      <c r="L41" s="108">
        <f>'12-18л. МЕНЮ  '!F541</f>
        <v>56.118000000000002</v>
      </c>
      <c r="M41" s="108">
        <f>'12-18л. МЕНЮ  '!F595</f>
        <v>53.421999999999997</v>
      </c>
      <c r="N41" s="108">
        <f>'12-18л. МЕНЮ  '!F650</f>
        <v>55.384000000000015</v>
      </c>
      <c r="O41" s="108">
        <f>'12-18л. МЕНЮ  '!F703</f>
        <v>55.152000000000001</v>
      </c>
      <c r="P41" s="1508">
        <f>'12-18л. МЕНЮ  '!F760</f>
        <v>54.625</v>
      </c>
      <c r="Q41" s="2248">
        <f t="shared" si="2"/>
        <v>662.40030000000002</v>
      </c>
      <c r="R41" s="2564">
        <f t="shared" si="0"/>
        <v>4.528985505203309E-5</v>
      </c>
      <c r="S41" s="2243">
        <f t="shared" si="1"/>
        <v>662.40000000000009</v>
      </c>
      <c r="T41" s="2244">
        <v>92</v>
      </c>
      <c r="U41" s="3"/>
      <c r="Y41" s="945"/>
      <c r="Z41" s="13"/>
      <c r="AA41" s="1"/>
      <c r="AB41" s="928"/>
      <c r="AD41" s="929"/>
    </row>
    <row r="42" spans="2:34" ht="12.75" customHeight="1">
      <c r="B42" s="596">
        <v>34</v>
      </c>
      <c r="C42" s="238" t="s">
        <v>64</v>
      </c>
      <c r="D42" s="160">
        <v>229.8</v>
      </c>
      <c r="E42" s="158">
        <f>'12-18л. МЕНЮ  '!G100</f>
        <v>228.5984</v>
      </c>
      <c r="F42" s="108">
        <f>'12-18л. МЕНЮ  '!G153</f>
        <v>232.65699999999998</v>
      </c>
      <c r="G42" s="108">
        <f>'12-18л. МЕНЮ  '!G211</f>
        <v>228.38900000000001</v>
      </c>
      <c r="H42" s="108">
        <f>'12-18л. МЕНЮ  '!G263</f>
        <v>226.1036</v>
      </c>
      <c r="I42" s="108">
        <f>'12-18л. МЕНЮ  '!G318</f>
        <v>235.37800000000001</v>
      </c>
      <c r="J42" s="108">
        <f>'12-18л. МЕНЮ  '!G373</f>
        <v>227.67400000000004</v>
      </c>
      <c r="K42" s="2258">
        <f>'12-18л. МЕНЮ  '!G486</f>
        <v>223.19900000000001</v>
      </c>
      <c r="L42" s="108">
        <f>'12-18л. МЕНЮ  '!G541</f>
        <v>229.37700000000001</v>
      </c>
      <c r="M42" s="108">
        <f>'12-18л. МЕНЮ  '!G595</f>
        <v>234.36699999999999</v>
      </c>
      <c r="N42" s="108">
        <f>'12-18л. МЕНЮ  '!G650</f>
        <v>228.76000000000002</v>
      </c>
      <c r="O42" s="108">
        <f>'12-18л. МЕНЮ  '!G703</f>
        <v>230.70999999999998</v>
      </c>
      <c r="P42" s="1508">
        <f>'12-18л. МЕНЮ  '!G760</f>
        <v>232.387</v>
      </c>
      <c r="Q42" s="2254">
        <f t="shared" si="2"/>
        <v>2757.6000000000004</v>
      </c>
      <c r="R42" s="2615">
        <f t="shared" si="0"/>
        <v>0</v>
      </c>
      <c r="S42" s="2255">
        <f t="shared" si="1"/>
        <v>2757.6000000000004</v>
      </c>
      <c r="T42" s="2256">
        <v>383</v>
      </c>
      <c r="U42" s="3"/>
      <c r="Y42" s="945"/>
      <c r="Z42" s="13"/>
      <c r="AA42" s="1"/>
      <c r="AB42" s="928"/>
      <c r="AD42" s="929"/>
    </row>
    <row r="43" spans="2:34" ht="15" customHeight="1" thickBot="1">
      <c r="B43" s="642">
        <v>35</v>
      </c>
      <c r="C43" s="643" t="s">
        <v>65</v>
      </c>
      <c r="D43" s="161">
        <v>1632</v>
      </c>
      <c r="E43" s="159">
        <f>'12-18л. МЕНЮ  '!H100</f>
        <v>1632.9100000000003</v>
      </c>
      <c r="F43" s="112">
        <f>'12-18л. МЕНЮ  '!H153</f>
        <v>1636.998</v>
      </c>
      <c r="G43" s="112">
        <f>'12-18л. МЕНЮ  '!H211</f>
        <v>1628.8744000000002</v>
      </c>
      <c r="H43" s="2257">
        <f>'12-18л. МЕНЮ  '!H263</f>
        <v>1630.1918000000001</v>
      </c>
      <c r="I43" s="112">
        <f>'12-18л. МЕНЮ  '!H318</f>
        <v>1634.829</v>
      </c>
      <c r="J43" s="112">
        <f>'12-18л. МЕНЮ  '!H373</f>
        <v>1628.1970000000001</v>
      </c>
      <c r="K43" s="2257">
        <f>'12-18л. МЕНЮ  '!H486</f>
        <v>1628.123</v>
      </c>
      <c r="L43" s="120">
        <f>'12-18л. МЕНЮ  '!H541</f>
        <v>1636.578</v>
      </c>
      <c r="M43" s="112">
        <f>'12-18л. МЕНЮ  '!H595</f>
        <v>1629.567</v>
      </c>
      <c r="N43" s="112">
        <f>'12-18л. МЕНЮ  '!H650</f>
        <v>1631.221</v>
      </c>
      <c r="O43" s="2257">
        <f>'12-18л. МЕНЮ  '!H703</f>
        <v>1635.7430000000002</v>
      </c>
      <c r="P43" s="2259">
        <f>'12-18л. МЕНЮ  '!H760</f>
        <v>1630.768</v>
      </c>
      <c r="Q43" s="2260">
        <f>E43+F43+G43+H43+I43+J43+K43+L43+M43+N43+O43+P43</f>
        <v>19584.000199999999</v>
      </c>
      <c r="R43" s="2613">
        <f t="shared" si="0"/>
        <v>1.0212418146693381E-6</v>
      </c>
      <c r="S43" s="2246">
        <f t="shared" si="1"/>
        <v>19584</v>
      </c>
      <c r="T43" s="2247">
        <v>2720</v>
      </c>
      <c r="U43" s="3"/>
      <c r="Y43" s="945"/>
      <c r="Z43" s="13"/>
      <c r="AA43" s="946"/>
      <c r="AB43" s="928"/>
      <c r="AD43" s="929"/>
    </row>
    <row r="46" spans="2:34" ht="13.5" customHeight="1"/>
    <row r="47" spans="2:34" ht="12.75" customHeight="1"/>
    <row r="48" spans="2:34" ht="12.75" customHeight="1"/>
    <row r="49" spans="2:18" ht="11.25" customHeight="1"/>
    <row r="50" spans="2:18" ht="11.25" customHeight="1"/>
    <row r="52" spans="2:18">
      <c r="D52" s="2229"/>
    </row>
    <row r="53" spans="2:18">
      <c r="D53" s="2229"/>
    </row>
    <row r="58" spans="2:18">
      <c r="B58" t="s">
        <v>304</v>
      </c>
      <c r="Q58" s="11"/>
      <c r="R58" s="11"/>
    </row>
    <row r="59" spans="2:18">
      <c r="B59" t="s">
        <v>305</v>
      </c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</row>
    <row r="60" spans="2:18">
      <c r="B60" t="s">
        <v>306</v>
      </c>
      <c r="O60" s="329"/>
      <c r="P60" s="329"/>
      <c r="Q60" s="329"/>
      <c r="R60" s="329"/>
    </row>
    <row r="61" spans="2:18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29"/>
      <c r="R61" s="329"/>
    </row>
    <row r="62" spans="2:18">
      <c r="B62" s="1" t="s">
        <v>307</v>
      </c>
    </row>
    <row r="63" spans="2:18">
      <c r="B63" t="s">
        <v>308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2:18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29"/>
      <c r="R64" s="329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102" ht="12.75" customHeight="1"/>
    <row r="103" ht="13.5" customHeight="1"/>
    <row r="104" ht="12.75" customHeight="1"/>
    <row r="108" ht="12.75" customHeight="1"/>
    <row r="109" ht="12.75" customHeight="1"/>
    <row r="110" ht="11.25" customHeight="1"/>
    <row r="111" ht="12.75" customHeight="1"/>
    <row r="112" ht="13.5" customHeight="1"/>
    <row r="113" spans="2:4" ht="14.25" customHeight="1"/>
    <row r="115" spans="2:4" ht="14.25" customHeight="1"/>
    <row r="117" spans="2:4" ht="11.25" customHeight="1"/>
    <row r="120" spans="2:4" hidden="1"/>
    <row r="125" spans="2:4" ht="11.25" customHeight="1"/>
    <row r="126" spans="2:4" ht="12.75" customHeight="1"/>
    <row r="127" spans="2:4" ht="11.25" customHeight="1"/>
    <row r="128" spans="2:4">
      <c r="B128" s="94"/>
      <c r="D128" s="94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U129" s="13"/>
    </row>
    <row r="130" spans="2:28">
      <c r="C130" s="13"/>
      <c r="D130" s="9"/>
      <c r="E130" s="850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U130" s="13"/>
    </row>
    <row r="131" spans="2:28">
      <c r="C131" s="22"/>
      <c r="D131" s="22"/>
      <c r="E131" s="14"/>
      <c r="F131" s="14"/>
      <c r="G131" s="14"/>
      <c r="H131" s="14"/>
      <c r="K131" s="14"/>
      <c r="L131" s="48"/>
      <c r="M131" s="13"/>
      <c r="N131" s="13"/>
      <c r="O131" s="9"/>
      <c r="P131" s="9"/>
      <c r="Q131" s="22"/>
      <c r="R131" s="22"/>
      <c r="T131" s="22"/>
      <c r="U131" s="13"/>
      <c r="AB131" s="92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U132" s="13"/>
      <c r="Z132" s="150"/>
      <c r="AB132" s="92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U133" s="13"/>
      <c r="Z133" s="150"/>
      <c r="AB133" s="92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U134" s="13"/>
      <c r="W134" s="345"/>
      <c r="X134" s="22"/>
      <c r="Y134" s="3"/>
      <c r="Z134" s="924"/>
      <c r="AB134" s="923"/>
    </row>
    <row r="135" spans="2:28">
      <c r="B135" s="3"/>
      <c r="C135" s="13"/>
      <c r="D135" s="925"/>
      <c r="E135" s="926"/>
      <c r="F135" s="926"/>
      <c r="G135" s="926"/>
      <c r="H135" s="926"/>
      <c r="I135" s="926"/>
      <c r="J135" s="926"/>
      <c r="K135" s="926"/>
      <c r="L135" s="926"/>
      <c r="M135" s="926"/>
      <c r="N135" s="926"/>
      <c r="O135" s="925"/>
      <c r="P135" s="22"/>
      <c r="Q135" s="22"/>
      <c r="S135" s="64"/>
      <c r="W135" s="927"/>
      <c r="X135" s="13"/>
      <c r="Y135" s="1"/>
      <c r="Z135" s="928"/>
      <c r="AB135" s="929"/>
    </row>
    <row r="136" spans="2:28">
      <c r="B136" s="3"/>
      <c r="C136" s="13"/>
      <c r="D136" s="925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30"/>
      <c r="P136" s="107"/>
      <c r="Q136" s="22"/>
      <c r="W136" s="927"/>
      <c r="X136" s="13"/>
      <c r="Y136" s="1"/>
      <c r="Z136" s="928"/>
      <c r="AB136" s="929"/>
    </row>
    <row r="137" spans="2:28">
      <c r="B137" s="3"/>
      <c r="C137" s="13"/>
      <c r="D137" s="925"/>
      <c r="E137" s="926"/>
      <c r="F137" s="926"/>
      <c r="G137" s="926"/>
      <c r="H137" s="940"/>
      <c r="I137" s="926"/>
      <c r="J137" s="926"/>
      <c r="K137" s="940"/>
      <c r="L137" s="926"/>
      <c r="M137" s="926"/>
      <c r="N137" s="926"/>
      <c r="O137" s="925"/>
      <c r="P137" s="107"/>
      <c r="Q137" s="22"/>
      <c r="W137" s="927"/>
      <c r="X137" s="13"/>
      <c r="Y137" s="1"/>
      <c r="Z137" s="928"/>
      <c r="AB137" s="931"/>
    </row>
    <row r="138" spans="2:28">
      <c r="B138" s="3"/>
      <c r="C138" s="13"/>
      <c r="D138" s="925"/>
      <c r="E138" s="926"/>
      <c r="F138" s="926"/>
      <c r="G138" s="926"/>
      <c r="H138" s="926"/>
      <c r="I138" s="926"/>
      <c r="J138" s="926"/>
      <c r="K138" s="926"/>
      <c r="L138" s="926"/>
      <c r="M138" s="926"/>
      <c r="N138" s="940"/>
      <c r="O138" s="932"/>
      <c r="P138" s="107"/>
      <c r="Q138" s="22"/>
      <c r="W138" s="927"/>
      <c r="X138" s="13"/>
      <c r="Y138" s="1"/>
      <c r="Z138" s="928"/>
      <c r="AB138" s="929"/>
    </row>
    <row r="139" spans="2:28">
      <c r="B139" s="3"/>
      <c r="C139" s="13"/>
      <c r="D139" s="925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5"/>
      <c r="P139" s="107"/>
      <c r="Q139" s="22"/>
      <c r="W139" s="927"/>
      <c r="X139" s="13"/>
      <c r="Y139" s="1"/>
      <c r="Z139" s="928"/>
      <c r="AB139" s="933"/>
    </row>
    <row r="140" spans="2:28">
      <c r="B140" s="3"/>
      <c r="C140" s="13"/>
      <c r="D140" s="925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5"/>
      <c r="P140" s="107"/>
      <c r="Q140" s="22"/>
      <c r="W140" s="927"/>
      <c r="X140" s="13"/>
      <c r="Y140" s="1"/>
      <c r="Z140" s="928"/>
      <c r="AB140" s="931"/>
    </row>
    <row r="141" spans="2:28">
      <c r="B141" s="3"/>
      <c r="C141" s="13"/>
      <c r="D141" s="925"/>
      <c r="E141" s="926"/>
      <c r="F141" s="926"/>
      <c r="G141" s="9"/>
      <c r="H141" s="935"/>
      <c r="I141" s="940"/>
      <c r="J141" s="926"/>
      <c r="K141" s="926"/>
      <c r="L141" s="926"/>
      <c r="M141" s="926"/>
      <c r="N141" s="926"/>
      <c r="O141" s="934"/>
      <c r="P141" s="107"/>
      <c r="Q141" s="22"/>
      <c r="W141" s="927"/>
      <c r="X141" s="13"/>
      <c r="Y141" s="1"/>
      <c r="Z141" s="928"/>
      <c r="AB141" s="933"/>
    </row>
    <row r="142" spans="2:28">
      <c r="B142" s="3"/>
      <c r="C142" s="13"/>
      <c r="D142" s="925"/>
      <c r="E142" s="689"/>
      <c r="F142" s="926"/>
      <c r="G142" s="926"/>
      <c r="H142" s="926"/>
      <c r="I142" s="926"/>
      <c r="J142" s="926"/>
      <c r="K142" s="926"/>
      <c r="L142" s="926"/>
      <c r="M142" s="926"/>
      <c r="N142" s="926"/>
      <c r="O142" s="925"/>
      <c r="P142" s="107"/>
      <c r="Q142" s="22"/>
      <c r="W142" s="927"/>
      <c r="X142" s="13"/>
      <c r="Y142" s="1"/>
      <c r="Z142" s="928"/>
      <c r="AB142" s="929"/>
    </row>
    <row r="143" spans="2:28">
      <c r="B143" s="3"/>
      <c r="C143" s="13"/>
      <c r="D143" s="925"/>
      <c r="E143" s="689"/>
      <c r="F143" s="926"/>
      <c r="G143" s="926"/>
      <c r="H143" s="926"/>
      <c r="I143" s="926"/>
      <c r="J143" s="926"/>
      <c r="K143" s="926"/>
      <c r="L143" s="926"/>
      <c r="M143" s="926"/>
      <c r="N143" s="926"/>
      <c r="O143" s="925"/>
      <c r="P143" s="107"/>
      <c r="Q143" s="22"/>
      <c r="W143" s="927"/>
      <c r="X143" s="13"/>
      <c r="Y143" s="1"/>
      <c r="Z143" s="928"/>
      <c r="AB143" s="929"/>
    </row>
    <row r="144" spans="2:28">
      <c r="B144" s="3"/>
      <c r="C144" s="13"/>
      <c r="D144" s="925"/>
      <c r="E144" s="689"/>
      <c r="F144" s="926"/>
      <c r="G144" s="926"/>
      <c r="H144" s="926"/>
      <c r="I144" s="926"/>
      <c r="J144" s="926"/>
      <c r="K144" s="926"/>
      <c r="L144" s="926"/>
      <c r="M144" s="926"/>
      <c r="N144" s="926"/>
      <c r="O144" s="925"/>
      <c r="P144" s="107"/>
      <c r="Q144" s="22"/>
      <c r="W144" s="927"/>
      <c r="X144" s="13"/>
      <c r="Y144" s="1"/>
      <c r="Z144" s="928"/>
      <c r="AB144" s="929"/>
    </row>
    <row r="145" spans="2:28">
      <c r="B145" s="3"/>
      <c r="C145" s="13"/>
      <c r="D145" s="925"/>
      <c r="E145" s="689"/>
      <c r="F145" s="926"/>
      <c r="G145" s="926"/>
      <c r="H145" s="926"/>
      <c r="I145" s="926"/>
      <c r="J145" s="926"/>
      <c r="K145" s="926"/>
      <c r="L145" s="926"/>
      <c r="M145" s="926"/>
      <c r="N145" s="926"/>
      <c r="O145" s="925"/>
      <c r="P145" s="107"/>
      <c r="Q145" s="22"/>
      <c r="W145" s="927"/>
      <c r="X145" s="13"/>
      <c r="Y145" s="1"/>
      <c r="Z145" s="928"/>
      <c r="AB145" s="929"/>
    </row>
    <row r="146" spans="2:28">
      <c r="B146" s="3"/>
      <c r="C146" s="13"/>
      <c r="D146" s="925"/>
      <c r="E146" s="689"/>
      <c r="F146" s="926"/>
      <c r="G146" s="926"/>
      <c r="H146" s="926"/>
      <c r="I146" s="926"/>
      <c r="J146" s="926"/>
      <c r="K146" s="926"/>
      <c r="L146" s="926"/>
      <c r="M146" s="926"/>
      <c r="N146" s="926"/>
      <c r="O146" s="925"/>
      <c r="P146" s="107"/>
      <c r="Q146" s="22"/>
      <c r="W146" s="927"/>
      <c r="X146" s="13"/>
      <c r="Y146" s="1"/>
      <c r="Z146" s="928"/>
      <c r="AB146" s="929"/>
    </row>
    <row r="147" spans="2:28">
      <c r="B147" s="3"/>
      <c r="C147" s="13"/>
      <c r="D147" s="925"/>
      <c r="E147" s="689"/>
      <c r="F147" s="926"/>
      <c r="G147" s="926"/>
      <c r="H147" s="926"/>
      <c r="I147" s="926"/>
      <c r="J147" s="926"/>
      <c r="K147" s="926"/>
      <c r="L147" s="926"/>
      <c r="M147" s="926"/>
      <c r="N147" s="926"/>
      <c r="O147" s="925"/>
      <c r="P147" s="107"/>
      <c r="Q147" s="22"/>
      <c r="W147" s="927"/>
      <c r="X147" s="13"/>
      <c r="Y147" s="1"/>
      <c r="Z147" s="928"/>
      <c r="AB147" s="929"/>
    </row>
    <row r="148" spans="2:28" ht="13.5" customHeight="1">
      <c r="B148" s="3"/>
      <c r="C148" s="13"/>
      <c r="D148" s="925"/>
      <c r="E148" s="689"/>
      <c r="F148" s="926"/>
      <c r="G148" s="926"/>
      <c r="H148" s="926"/>
      <c r="I148" s="926"/>
      <c r="J148" s="926"/>
      <c r="K148" s="926"/>
      <c r="L148" s="926"/>
      <c r="M148" s="926"/>
      <c r="N148" s="926"/>
      <c r="O148" s="925"/>
      <c r="P148" s="107"/>
      <c r="Q148" s="22"/>
      <c r="W148" s="927"/>
      <c r="X148" s="13"/>
      <c r="Y148" s="1"/>
      <c r="Z148" s="928"/>
      <c r="AB148" s="929"/>
    </row>
    <row r="149" spans="2:28">
      <c r="B149" s="3"/>
      <c r="C149" s="13"/>
      <c r="D149" s="925"/>
      <c r="E149" s="689"/>
      <c r="F149" s="926"/>
      <c r="G149" s="926"/>
      <c r="H149" s="926"/>
      <c r="I149" s="926"/>
      <c r="J149" s="926"/>
      <c r="K149" s="926"/>
      <c r="L149" s="926"/>
      <c r="M149" s="926"/>
      <c r="N149" s="926"/>
      <c r="O149" s="925"/>
      <c r="P149" s="107"/>
      <c r="Q149" s="22"/>
      <c r="W149" s="927"/>
      <c r="X149" s="13"/>
      <c r="Y149" s="1"/>
      <c r="Z149" s="928"/>
      <c r="AB149" s="931"/>
    </row>
    <row r="150" spans="2:28" ht="12.75" customHeight="1">
      <c r="B150" s="3"/>
      <c r="C150" s="13"/>
      <c r="D150" s="925"/>
      <c r="E150" s="689"/>
      <c r="F150" s="935"/>
      <c r="G150" s="936"/>
      <c r="H150" s="926"/>
      <c r="I150" s="926"/>
      <c r="J150" s="926"/>
      <c r="K150" s="926"/>
      <c r="L150" s="935"/>
      <c r="M150" s="935"/>
      <c r="N150" s="926"/>
      <c r="O150" s="930"/>
      <c r="P150" s="107"/>
      <c r="Q150" s="22"/>
      <c r="W150" s="927"/>
      <c r="X150" s="13"/>
      <c r="Y150" s="1"/>
      <c r="Z150" s="928"/>
      <c r="AB150" s="937"/>
    </row>
    <row r="151" spans="2:28">
      <c r="B151" s="3"/>
      <c r="C151" s="13"/>
      <c r="D151" s="925"/>
      <c r="E151" s="689"/>
      <c r="F151" s="935"/>
      <c r="G151" s="936"/>
      <c r="H151" s="926"/>
      <c r="I151" s="926"/>
      <c r="J151" s="926"/>
      <c r="K151" s="926"/>
      <c r="L151" s="935"/>
      <c r="M151" s="935"/>
      <c r="N151" s="926"/>
      <c r="O151" s="925"/>
      <c r="P151" s="107"/>
      <c r="Q151" s="22"/>
      <c r="W151" s="927"/>
      <c r="X151" s="13"/>
      <c r="Y151" s="1"/>
      <c r="Z151" s="928"/>
      <c r="AB151" s="929"/>
    </row>
    <row r="152" spans="2:28" ht="12.75" customHeight="1">
      <c r="B152" s="3"/>
      <c r="C152" s="13"/>
      <c r="D152" s="925"/>
      <c r="E152" s="689"/>
      <c r="F152" s="935"/>
      <c r="G152" s="936"/>
      <c r="H152" s="926"/>
      <c r="I152" s="926"/>
      <c r="J152" s="926"/>
      <c r="K152" s="926"/>
      <c r="L152" s="935"/>
      <c r="M152" s="935"/>
      <c r="N152" s="926"/>
      <c r="O152" s="925"/>
      <c r="P152" s="107"/>
      <c r="Q152" s="22"/>
      <c r="W152" s="927"/>
      <c r="X152" s="13"/>
      <c r="Y152" s="1"/>
      <c r="Z152" s="928"/>
      <c r="AB152" s="929"/>
    </row>
    <row r="153" spans="2:28">
      <c r="B153" s="3"/>
      <c r="C153" s="13"/>
      <c r="D153" s="925"/>
      <c r="E153" s="949"/>
      <c r="F153" s="935"/>
      <c r="G153" s="936"/>
      <c r="H153" s="926"/>
      <c r="I153" s="947"/>
      <c r="J153" s="926"/>
      <c r="K153" s="947"/>
      <c r="L153" s="940"/>
      <c r="M153" s="940"/>
      <c r="N153" s="926"/>
      <c r="O153" s="925"/>
      <c r="P153" s="107"/>
      <c r="Q153" s="22"/>
      <c r="W153" s="927"/>
      <c r="X153" s="13"/>
      <c r="Y153" s="1"/>
      <c r="Z153" s="928"/>
      <c r="AB153" s="933"/>
    </row>
    <row r="154" spans="2:28">
      <c r="B154" s="3"/>
      <c r="C154" s="13"/>
      <c r="D154" s="925"/>
      <c r="E154" s="689"/>
      <c r="F154" s="940"/>
      <c r="G154" s="936"/>
      <c r="H154" s="926"/>
      <c r="I154" s="926"/>
      <c r="J154" s="926"/>
      <c r="K154" s="926"/>
      <c r="L154" s="940"/>
      <c r="M154" s="940"/>
      <c r="N154" s="926"/>
      <c r="O154" s="925"/>
      <c r="P154" s="107"/>
      <c r="Q154" s="22"/>
      <c r="W154" s="927"/>
      <c r="X154" s="13"/>
      <c r="Y154" s="1"/>
      <c r="Z154" s="928"/>
      <c r="AB154" s="929"/>
    </row>
    <row r="155" spans="2:28">
      <c r="B155" s="3"/>
      <c r="C155" s="13"/>
      <c r="D155" s="925"/>
      <c r="E155" s="689"/>
      <c r="F155" s="935"/>
      <c r="G155" s="936"/>
      <c r="H155" s="926"/>
      <c r="I155" s="926"/>
      <c r="J155" s="926"/>
      <c r="K155" s="926"/>
      <c r="L155" s="940"/>
      <c r="M155" s="935"/>
      <c r="N155" s="926"/>
      <c r="O155" s="925"/>
      <c r="P155" s="107"/>
      <c r="Q155" s="22"/>
      <c r="W155" s="927"/>
      <c r="X155" s="13"/>
      <c r="Y155" s="1"/>
      <c r="Z155" s="928"/>
      <c r="AB155" s="929"/>
    </row>
    <row r="156" spans="2:28">
      <c r="B156" s="3"/>
      <c r="C156" s="13"/>
      <c r="D156" s="925"/>
      <c r="E156" s="689"/>
      <c r="F156" s="940"/>
      <c r="G156" s="936"/>
      <c r="H156" s="926"/>
      <c r="I156" s="926"/>
      <c r="J156" s="926"/>
      <c r="K156" s="926"/>
      <c r="L156" s="936"/>
      <c r="M156" s="936"/>
      <c r="N156" s="9"/>
      <c r="O156" s="925"/>
      <c r="P156" s="107"/>
      <c r="Q156" s="22"/>
      <c r="W156" s="927"/>
      <c r="X156" s="13"/>
      <c r="Y156" s="1"/>
      <c r="Z156" s="928"/>
      <c r="AB156" s="929"/>
    </row>
    <row r="157" spans="2:28">
      <c r="B157" s="3"/>
      <c r="C157" s="13"/>
      <c r="D157" s="925"/>
      <c r="E157" s="689"/>
      <c r="F157" s="940"/>
      <c r="G157" s="940"/>
      <c r="H157" s="926"/>
      <c r="I157" s="926"/>
      <c r="J157" s="926"/>
      <c r="K157" s="935"/>
      <c r="L157" s="947"/>
      <c r="M157" s="940"/>
      <c r="N157" s="936"/>
      <c r="O157" s="925"/>
      <c r="P157" s="107"/>
      <c r="Q157" s="22"/>
      <c r="W157" s="927"/>
      <c r="X157" s="13"/>
      <c r="Y157" s="1"/>
      <c r="Z157" s="928"/>
      <c r="AB157" s="929"/>
    </row>
    <row r="158" spans="2:28" ht="10.5" customHeight="1">
      <c r="B158" s="3"/>
      <c r="C158" s="13"/>
      <c r="D158" s="925"/>
      <c r="E158" s="689"/>
      <c r="F158" s="935"/>
      <c r="G158" s="936"/>
      <c r="H158" s="926"/>
      <c r="I158" s="926"/>
      <c r="J158" s="926"/>
      <c r="K158" s="926"/>
      <c r="L158" s="935"/>
      <c r="M158" s="935"/>
      <c r="N158" s="926"/>
      <c r="O158" s="925"/>
      <c r="P158" s="107"/>
      <c r="Q158" s="22"/>
      <c r="W158" s="927"/>
      <c r="X158" s="13"/>
      <c r="Y158" s="1"/>
      <c r="Z158" s="928"/>
      <c r="AB158" s="929"/>
    </row>
    <row r="159" spans="2:28" ht="12.75" customHeight="1">
      <c r="B159" s="3"/>
      <c r="C159" s="13"/>
      <c r="D159" s="925"/>
      <c r="E159" s="689"/>
      <c r="F159" s="940"/>
      <c r="G159" s="936"/>
      <c r="H159" s="926"/>
      <c r="I159" s="926"/>
      <c r="J159" s="926"/>
      <c r="K159" s="926"/>
      <c r="L159" s="936"/>
      <c r="M159" s="936"/>
      <c r="N159" s="926"/>
      <c r="O159" s="925"/>
      <c r="P159" s="938"/>
      <c r="Q159" s="22"/>
      <c r="W159" s="927"/>
      <c r="X159" s="13"/>
      <c r="Y159" s="1"/>
      <c r="Z159" s="928"/>
      <c r="AB159" s="939"/>
    </row>
    <row r="160" spans="2:28">
      <c r="B160" s="3"/>
      <c r="C160" s="13"/>
      <c r="D160" s="925"/>
      <c r="E160" s="689"/>
      <c r="F160" s="935"/>
      <c r="G160" s="936"/>
      <c r="H160" s="926"/>
      <c r="I160" s="926"/>
      <c r="J160" s="926"/>
      <c r="K160" s="926"/>
      <c r="L160" s="936"/>
      <c r="M160" s="936"/>
      <c r="N160" s="926"/>
      <c r="O160" s="925"/>
      <c r="P160" s="107"/>
      <c r="Q160" s="22"/>
      <c r="W160" s="927"/>
      <c r="X160" s="13"/>
      <c r="Y160" s="1"/>
      <c r="Z160" s="928"/>
      <c r="AB160" s="929"/>
    </row>
    <row r="161" spans="2:28" ht="12.75" customHeight="1">
      <c r="B161" s="3"/>
      <c r="C161" s="13"/>
      <c r="D161" s="925"/>
      <c r="E161" s="689"/>
      <c r="F161" s="936"/>
      <c r="G161" s="940"/>
      <c r="H161" s="926"/>
      <c r="I161" s="926"/>
      <c r="J161" s="926"/>
      <c r="K161" s="926"/>
      <c r="L161" s="947"/>
      <c r="M161" s="940"/>
      <c r="N161" s="926"/>
      <c r="O161" s="925"/>
      <c r="P161" s="938"/>
      <c r="Q161" s="22"/>
      <c r="W161" s="927"/>
      <c r="X161" s="13"/>
      <c r="Y161" s="1"/>
      <c r="Z161" s="928"/>
      <c r="AB161" s="939"/>
    </row>
    <row r="162" spans="2:28" hidden="1">
      <c r="B162" s="3"/>
      <c r="C162" s="13"/>
      <c r="D162" s="925"/>
      <c r="E162" s="689"/>
      <c r="F162" s="940"/>
      <c r="G162" s="936"/>
      <c r="H162" s="926"/>
      <c r="I162" s="926"/>
      <c r="J162" s="926"/>
      <c r="K162" s="926"/>
      <c r="L162" s="935"/>
      <c r="M162" s="935"/>
      <c r="N162" s="926"/>
      <c r="O162" s="925"/>
      <c r="P162" s="107"/>
      <c r="Q162" s="22"/>
      <c r="W162" s="927"/>
      <c r="X162" s="13"/>
      <c r="Y162" s="1"/>
      <c r="Z162" s="928"/>
      <c r="AB162" s="933"/>
    </row>
    <row r="163" spans="2:28" ht="13.5" customHeight="1">
      <c r="B163" s="3"/>
      <c r="C163" s="4"/>
      <c r="D163" s="925"/>
      <c r="E163" s="689"/>
      <c r="F163" s="936"/>
      <c r="G163" s="936"/>
      <c r="H163" s="926"/>
      <c r="I163" s="926"/>
      <c r="J163" s="926"/>
      <c r="K163" s="926"/>
      <c r="L163" s="940"/>
      <c r="M163" s="940"/>
      <c r="N163" s="926"/>
      <c r="O163" s="925"/>
      <c r="P163" s="107"/>
      <c r="Q163" s="22"/>
      <c r="W163" s="927"/>
      <c r="X163" s="13"/>
      <c r="Y163" s="1"/>
      <c r="Z163" s="928"/>
      <c r="AB163" s="929"/>
    </row>
    <row r="164" spans="2:28" ht="12.75" customHeight="1">
      <c r="B164" s="3"/>
      <c r="C164" s="13"/>
      <c r="D164" s="925"/>
      <c r="E164" s="689"/>
      <c r="F164" s="935"/>
      <c r="G164" s="936"/>
      <c r="H164" s="947"/>
      <c r="I164" s="926"/>
      <c r="J164" s="926"/>
      <c r="K164" s="926"/>
      <c r="L164" s="935"/>
      <c r="M164" s="936"/>
      <c r="N164" s="926"/>
      <c r="O164" s="930"/>
      <c r="P164" s="938"/>
      <c r="Q164" s="22"/>
      <c r="W164" s="927"/>
      <c r="X164" s="13"/>
      <c r="Y164" s="1"/>
      <c r="Z164" s="928"/>
      <c r="AB164" s="939"/>
    </row>
    <row r="165" spans="2:28" ht="12.75" customHeight="1">
      <c r="B165" s="3"/>
      <c r="C165" s="13"/>
      <c r="D165" s="925"/>
      <c r="E165" s="689"/>
      <c r="F165" s="947"/>
      <c r="G165" s="947"/>
      <c r="H165" s="926"/>
      <c r="I165" s="926"/>
      <c r="J165" s="926"/>
      <c r="K165" s="926"/>
      <c r="L165" s="948"/>
      <c r="M165" s="947"/>
      <c r="N165" s="926"/>
      <c r="O165" s="930"/>
      <c r="P165" s="107"/>
      <c r="Q165" s="22"/>
      <c r="W165" s="927"/>
      <c r="X165" s="13"/>
      <c r="Y165" s="1"/>
      <c r="Z165" s="928"/>
      <c r="AB165" s="942"/>
    </row>
    <row r="166" spans="2:28" ht="12.75" customHeight="1">
      <c r="B166" s="3"/>
      <c r="C166" s="13"/>
      <c r="D166" s="925"/>
      <c r="E166" s="943"/>
      <c r="F166" s="151"/>
      <c r="G166" s="151"/>
      <c r="H166" s="151"/>
      <c r="I166" s="151"/>
      <c r="J166" s="151"/>
      <c r="K166" s="151"/>
      <c r="L166" s="151"/>
      <c r="M166" s="151"/>
      <c r="N166" s="151"/>
      <c r="O166" s="930"/>
      <c r="P166" s="107"/>
      <c r="Q166" s="22"/>
      <c r="W166" s="927"/>
      <c r="X166" s="13"/>
      <c r="Y166" s="1"/>
      <c r="Z166" s="928"/>
      <c r="AB166" s="929"/>
    </row>
    <row r="167" spans="2:28" ht="12.75" customHeight="1">
      <c r="B167" s="3"/>
      <c r="C167" s="13"/>
      <c r="D167" s="925"/>
      <c r="E167" s="943"/>
      <c r="F167" s="151"/>
      <c r="G167" s="151"/>
      <c r="H167" s="151"/>
      <c r="I167" s="151"/>
      <c r="J167" s="151"/>
      <c r="K167" s="151"/>
      <c r="L167" s="151"/>
      <c r="M167" s="151"/>
      <c r="N167" s="151"/>
      <c r="O167" s="930"/>
      <c r="P167" s="107"/>
      <c r="Q167" s="22"/>
      <c r="W167" s="927"/>
      <c r="X167" s="13"/>
      <c r="Y167" s="1"/>
      <c r="Z167" s="928"/>
      <c r="AB167" s="929"/>
    </row>
    <row r="168" spans="2:28" ht="11.25" customHeight="1">
      <c r="B168" s="3"/>
      <c r="C168" s="13"/>
      <c r="D168" s="925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930"/>
      <c r="P168" s="107"/>
      <c r="Q168" s="22"/>
      <c r="W168" s="927"/>
      <c r="X168" s="13"/>
      <c r="Y168" s="1"/>
      <c r="Z168" s="928"/>
      <c r="AB168" s="929"/>
    </row>
    <row r="169" spans="2:28" ht="12.75" customHeight="1">
      <c r="B169" s="3"/>
      <c r="C169" s="13"/>
      <c r="D169" s="925"/>
      <c r="E169" s="151"/>
      <c r="F169" s="151"/>
      <c r="G169" s="151"/>
      <c r="H169" s="151"/>
      <c r="I169" s="151"/>
      <c r="J169" s="151"/>
      <c r="K169" s="944"/>
      <c r="L169" s="151"/>
      <c r="M169" s="151"/>
      <c r="N169" s="151"/>
      <c r="O169" s="932"/>
      <c r="P169" s="107"/>
      <c r="Q169" s="22"/>
      <c r="W169" s="945"/>
      <c r="X169" s="13"/>
      <c r="Y169" s="946"/>
      <c r="Z169" s="928"/>
      <c r="AB169" s="929"/>
    </row>
    <row r="170" spans="2:28" ht="11.25" customHeight="1"/>
    <row r="171" spans="2:28" ht="12.75" customHeight="1">
      <c r="B171" s="94"/>
      <c r="D171" s="94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U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U173" s="13"/>
    </row>
    <row r="174" spans="2:28">
      <c r="C174" s="22"/>
      <c r="D174" s="22"/>
      <c r="E174" s="14"/>
      <c r="F174" s="14"/>
      <c r="G174" s="14"/>
      <c r="H174" s="14"/>
      <c r="K174" s="14"/>
      <c r="L174" s="48"/>
      <c r="M174" s="13"/>
      <c r="N174" s="13"/>
      <c r="O174" s="9"/>
      <c r="P174" s="9"/>
      <c r="Q174" s="22"/>
      <c r="R174" s="22"/>
      <c r="T174" s="22"/>
      <c r="U174" s="13"/>
      <c r="AB174" s="92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U175" s="13"/>
      <c r="Z175" s="150"/>
      <c r="AB175" s="92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U176" s="13"/>
      <c r="Z176" s="150"/>
      <c r="AB176" s="92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45"/>
      <c r="X177" s="22"/>
      <c r="Y177" s="3"/>
      <c r="Z177" s="924"/>
      <c r="AB177" s="923"/>
    </row>
    <row r="178" spans="2:28">
      <c r="B178" s="3"/>
      <c r="C178" s="13"/>
      <c r="D178" s="925"/>
      <c r="E178" s="940"/>
      <c r="F178" s="926"/>
      <c r="G178" s="926"/>
      <c r="H178" s="926"/>
      <c r="I178" s="926"/>
      <c r="J178" s="926"/>
      <c r="K178" s="926"/>
      <c r="L178" s="926"/>
      <c r="M178" s="926"/>
      <c r="N178" s="926"/>
      <c r="O178" s="925"/>
      <c r="P178" s="22"/>
      <c r="Q178" s="22"/>
      <c r="S178" s="64"/>
      <c r="W178" s="927"/>
      <c r="X178" s="13"/>
      <c r="Y178" s="1"/>
      <c r="Z178" s="928"/>
      <c r="AB178" s="929"/>
    </row>
    <row r="179" spans="2:28">
      <c r="B179" s="3"/>
      <c r="C179" s="13"/>
      <c r="D179" s="925"/>
      <c r="E179" s="940"/>
      <c r="F179" s="926"/>
      <c r="G179" s="926"/>
      <c r="H179" s="926"/>
      <c r="I179" s="926"/>
      <c r="J179" s="926"/>
      <c r="K179" s="926"/>
      <c r="L179" s="926"/>
      <c r="M179" s="926"/>
      <c r="N179" s="926"/>
      <c r="O179" s="930"/>
      <c r="P179" s="107"/>
      <c r="Q179" s="22"/>
      <c r="W179" s="927"/>
      <c r="X179" s="13"/>
      <c r="Y179" s="1"/>
      <c r="Z179" s="928"/>
      <c r="AB179" s="929"/>
    </row>
    <row r="180" spans="2:28" ht="12" customHeight="1">
      <c r="B180" s="3"/>
      <c r="C180" s="13"/>
      <c r="D180" s="925"/>
      <c r="E180" s="940"/>
      <c r="F180" s="926"/>
      <c r="G180" s="926"/>
      <c r="H180" s="940"/>
      <c r="I180" s="926"/>
      <c r="J180" s="926"/>
      <c r="K180" s="940"/>
      <c r="L180" s="926"/>
      <c r="M180" s="926"/>
      <c r="N180" s="926"/>
      <c r="O180" s="925"/>
      <c r="P180" s="107"/>
      <c r="Q180" s="22"/>
      <c r="W180" s="927"/>
      <c r="X180" s="13"/>
      <c r="Y180" s="1"/>
      <c r="Z180" s="928"/>
      <c r="AB180" s="931"/>
    </row>
    <row r="181" spans="2:28">
      <c r="B181" s="3"/>
      <c r="C181" s="13"/>
      <c r="D181" s="925"/>
      <c r="E181" s="940"/>
      <c r="F181" s="926"/>
      <c r="G181" s="926"/>
      <c r="H181" s="926"/>
      <c r="I181" s="926"/>
      <c r="J181" s="926"/>
      <c r="K181" s="926"/>
      <c r="L181" s="926"/>
      <c r="M181" s="926"/>
      <c r="N181" s="940"/>
      <c r="O181" s="932"/>
      <c r="P181" s="107"/>
      <c r="Q181" s="22"/>
      <c r="W181" s="927"/>
      <c r="X181" s="13"/>
      <c r="Y181" s="1"/>
      <c r="Z181" s="928"/>
      <c r="AB181" s="929"/>
    </row>
    <row r="182" spans="2:28" ht="12.75" customHeight="1">
      <c r="B182" s="3"/>
      <c r="C182" s="13"/>
      <c r="D182" s="925"/>
      <c r="E182" s="940"/>
      <c r="F182" s="926"/>
      <c r="G182" s="926"/>
      <c r="H182" s="926"/>
      <c r="I182" s="926"/>
      <c r="J182" s="926"/>
      <c r="K182" s="926"/>
      <c r="L182" s="926"/>
      <c r="M182" s="926"/>
      <c r="N182" s="926"/>
      <c r="O182" s="925"/>
      <c r="P182" s="107"/>
      <c r="Q182" s="22"/>
      <c r="W182" s="927"/>
      <c r="X182" s="13"/>
      <c r="Y182" s="1"/>
      <c r="Z182" s="928"/>
      <c r="AB182" s="933"/>
    </row>
    <row r="183" spans="2:28">
      <c r="B183" s="3"/>
      <c r="C183" s="13"/>
      <c r="D183" s="925"/>
      <c r="E183" s="940"/>
      <c r="F183" s="926"/>
      <c r="G183" s="926"/>
      <c r="H183" s="926"/>
      <c r="I183" s="926"/>
      <c r="J183" s="926"/>
      <c r="K183" s="926"/>
      <c r="L183" s="926"/>
      <c r="M183" s="926"/>
      <c r="N183" s="926"/>
      <c r="O183" s="925"/>
      <c r="P183" s="107"/>
      <c r="Q183" s="22"/>
      <c r="W183" s="927"/>
      <c r="X183" s="13"/>
      <c r="Y183" s="1"/>
      <c r="Z183" s="928"/>
      <c r="AB183" s="931"/>
    </row>
    <row r="184" spans="2:28" ht="15" customHeight="1">
      <c r="B184" s="3"/>
      <c r="C184" s="13"/>
      <c r="D184" s="925"/>
      <c r="E184" s="940"/>
      <c r="F184" s="926"/>
      <c r="G184" s="9"/>
      <c r="H184" s="935"/>
      <c r="I184" s="940"/>
      <c r="J184" s="926"/>
      <c r="K184" s="926"/>
      <c r="L184" s="926"/>
      <c r="M184" s="926"/>
      <c r="N184" s="926"/>
      <c r="O184" s="934"/>
      <c r="P184" s="107"/>
      <c r="Q184" s="22"/>
      <c r="W184" s="927"/>
      <c r="X184" s="13"/>
      <c r="Y184" s="1"/>
      <c r="Z184" s="928"/>
      <c r="AB184" s="933"/>
    </row>
    <row r="185" spans="2:28">
      <c r="B185" s="3"/>
      <c r="C185" s="13"/>
      <c r="D185" s="925"/>
      <c r="E185" s="940"/>
      <c r="F185" s="926"/>
      <c r="G185" s="926"/>
      <c r="H185" s="926"/>
      <c r="I185" s="926"/>
      <c r="J185" s="926"/>
      <c r="K185" s="926"/>
      <c r="L185" s="926"/>
      <c r="M185" s="926"/>
      <c r="N185" s="926"/>
      <c r="O185" s="925"/>
      <c r="P185" s="107"/>
      <c r="Q185" s="22"/>
      <c r="W185" s="927"/>
      <c r="X185" s="13"/>
      <c r="Y185" s="1"/>
      <c r="Z185" s="928"/>
      <c r="AB185" s="929"/>
    </row>
    <row r="186" spans="2:28">
      <c r="B186" s="3"/>
      <c r="C186" s="13"/>
      <c r="D186" s="925"/>
      <c r="E186" s="940"/>
      <c r="F186" s="926"/>
      <c r="G186" s="926"/>
      <c r="H186" s="926"/>
      <c r="I186" s="926"/>
      <c r="J186" s="926"/>
      <c r="K186" s="926"/>
      <c r="L186" s="926"/>
      <c r="M186" s="926"/>
      <c r="N186" s="926"/>
      <c r="O186" s="925"/>
      <c r="P186" s="107"/>
      <c r="Q186" s="22"/>
      <c r="W186" s="927"/>
      <c r="X186" s="13"/>
      <c r="Y186" s="1"/>
      <c r="Z186" s="928"/>
      <c r="AB186" s="929"/>
    </row>
    <row r="187" spans="2:28">
      <c r="B187" s="3"/>
      <c r="C187" s="13"/>
      <c r="D187" s="925"/>
      <c r="E187" s="940"/>
      <c r="F187" s="926"/>
      <c r="G187" s="926"/>
      <c r="H187" s="926"/>
      <c r="I187" s="926"/>
      <c r="J187" s="926"/>
      <c r="K187" s="926"/>
      <c r="L187" s="926"/>
      <c r="M187" s="926"/>
      <c r="N187" s="926"/>
      <c r="O187" s="925"/>
      <c r="P187" s="107"/>
      <c r="Q187" s="22"/>
      <c r="W187" s="927"/>
      <c r="X187" s="13"/>
      <c r="Y187" s="1"/>
      <c r="Z187" s="928"/>
      <c r="AB187" s="929"/>
    </row>
    <row r="188" spans="2:28">
      <c r="B188" s="3"/>
      <c r="C188" s="13"/>
      <c r="D188" s="925"/>
      <c r="E188" s="940"/>
      <c r="F188" s="926"/>
      <c r="G188" s="926"/>
      <c r="H188" s="926"/>
      <c r="I188" s="926"/>
      <c r="J188" s="926"/>
      <c r="K188" s="926"/>
      <c r="L188" s="926"/>
      <c r="M188" s="926"/>
      <c r="N188" s="926"/>
      <c r="O188" s="925"/>
      <c r="P188" s="107"/>
      <c r="Q188" s="22"/>
      <c r="W188" s="927"/>
      <c r="X188" s="13"/>
      <c r="Y188" s="1"/>
      <c r="Z188" s="928"/>
      <c r="AB188" s="929"/>
    </row>
    <row r="189" spans="2:28">
      <c r="B189" s="3"/>
      <c r="C189" s="13"/>
      <c r="D189" s="925"/>
      <c r="E189" s="940"/>
      <c r="F189" s="926"/>
      <c r="G189" s="926"/>
      <c r="H189" s="926"/>
      <c r="I189" s="926"/>
      <c r="J189" s="926"/>
      <c r="K189" s="926"/>
      <c r="L189" s="926"/>
      <c r="M189" s="926"/>
      <c r="N189" s="926"/>
      <c r="O189" s="925"/>
      <c r="P189" s="107"/>
      <c r="Q189" s="22"/>
      <c r="W189" s="927"/>
      <c r="X189" s="13"/>
      <c r="Y189" s="1"/>
      <c r="Z189" s="928"/>
      <c r="AB189" s="929"/>
    </row>
    <row r="190" spans="2:28">
      <c r="B190" s="3"/>
      <c r="C190" s="13"/>
      <c r="D190" s="925"/>
      <c r="E190" s="940"/>
      <c r="F190" s="926"/>
      <c r="G190" s="926"/>
      <c r="H190" s="926"/>
      <c r="I190" s="926"/>
      <c r="J190" s="926"/>
      <c r="K190" s="926"/>
      <c r="L190" s="926"/>
      <c r="M190" s="926"/>
      <c r="N190" s="926"/>
      <c r="O190" s="925"/>
      <c r="P190" s="107"/>
      <c r="Q190" s="22"/>
      <c r="W190" s="927"/>
      <c r="X190" s="13"/>
      <c r="Y190" s="1"/>
      <c r="Z190" s="928"/>
      <c r="AB190" s="929"/>
    </row>
    <row r="191" spans="2:28">
      <c r="B191" s="3"/>
      <c r="C191" s="13"/>
      <c r="D191" s="925"/>
      <c r="E191" s="940"/>
      <c r="F191" s="926"/>
      <c r="G191" s="926"/>
      <c r="H191" s="926"/>
      <c r="I191" s="926"/>
      <c r="J191" s="926"/>
      <c r="K191" s="926"/>
      <c r="L191" s="926"/>
      <c r="M191" s="926"/>
      <c r="N191" s="926"/>
      <c r="O191" s="925"/>
      <c r="P191" s="107"/>
      <c r="Q191" s="22"/>
      <c r="W191" s="927"/>
      <c r="X191" s="13"/>
      <c r="Y191" s="1"/>
      <c r="Z191" s="928"/>
      <c r="AB191" s="929"/>
    </row>
    <row r="192" spans="2:28" ht="13.5" customHeight="1">
      <c r="B192" s="3"/>
      <c r="C192" s="13"/>
      <c r="D192" s="925"/>
      <c r="E192" s="940"/>
      <c r="F192" s="926"/>
      <c r="G192" s="926"/>
      <c r="H192" s="926"/>
      <c r="I192" s="926"/>
      <c r="J192" s="926"/>
      <c r="K192" s="926"/>
      <c r="L192" s="926"/>
      <c r="M192" s="926"/>
      <c r="N192" s="926"/>
      <c r="O192" s="925"/>
      <c r="P192" s="107"/>
      <c r="Q192" s="22"/>
      <c r="W192" s="927"/>
      <c r="X192" s="13"/>
      <c r="Y192" s="1"/>
      <c r="Z192" s="928"/>
      <c r="AB192" s="931"/>
    </row>
    <row r="193" spans="2:28" ht="12" customHeight="1">
      <c r="B193" s="3"/>
      <c r="C193" s="13"/>
      <c r="D193" s="925"/>
      <c r="E193" s="943"/>
      <c r="F193" s="935"/>
      <c r="G193" s="936"/>
      <c r="H193" s="926"/>
      <c r="I193" s="926"/>
      <c r="J193" s="926"/>
      <c r="K193" s="926"/>
      <c r="L193" s="935"/>
      <c r="M193" s="935"/>
      <c r="N193" s="926"/>
      <c r="O193" s="930"/>
      <c r="P193" s="107"/>
      <c r="Q193" s="22"/>
      <c r="W193" s="927"/>
      <c r="X193" s="13"/>
      <c r="Y193" s="1"/>
      <c r="Z193" s="928"/>
      <c r="AB193" s="937"/>
    </row>
    <row r="194" spans="2:28">
      <c r="B194" s="3"/>
      <c r="C194" s="13"/>
      <c r="D194" s="925"/>
      <c r="E194" s="943"/>
      <c r="F194" s="935"/>
      <c r="G194" s="936"/>
      <c r="H194" s="926"/>
      <c r="I194" s="926"/>
      <c r="J194" s="926"/>
      <c r="K194" s="926"/>
      <c r="L194" s="935"/>
      <c r="M194" s="935"/>
      <c r="N194" s="926"/>
      <c r="O194" s="925"/>
      <c r="P194" s="107"/>
      <c r="Q194" s="22"/>
      <c r="W194" s="927"/>
      <c r="X194" s="13"/>
      <c r="Y194" s="1"/>
      <c r="Z194" s="928"/>
      <c r="AB194" s="929"/>
    </row>
    <row r="195" spans="2:28" ht="13.5" customHeight="1">
      <c r="B195" s="3"/>
      <c r="C195" s="13"/>
      <c r="D195" s="925"/>
      <c r="E195" s="943"/>
      <c r="F195" s="935"/>
      <c r="G195" s="936"/>
      <c r="H195" s="926"/>
      <c r="I195" s="926"/>
      <c r="J195" s="926"/>
      <c r="K195" s="926"/>
      <c r="L195" s="935"/>
      <c r="M195" s="935"/>
      <c r="N195" s="926"/>
      <c r="O195" s="925"/>
      <c r="P195" s="107"/>
      <c r="Q195" s="22"/>
      <c r="W195" s="927"/>
      <c r="X195" s="13"/>
      <c r="Y195" s="1"/>
      <c r="Z195" s="928"/>
      <c r="AB195" s="929"/>
    </row>
    <row r="196" spans="2:28">
      <c r="B196" s="3"/>
      <c r="C196" s="13"/>
      <c r="D196" s="925"/>
      <c r="E196" s="943"/>
      <c r="F196" s="935"/>
      <c r="G196" s="936"/>
      <c r="H196" s="926"/>
      <c r="I196" s="947"/>
      <c r="J196" s="926"/>
      <c r="K196" s="947"/>
      <c r="L196" s="940"/>
      <c r="M196" s="940"/>
      <c r="N196" s="926"/>
      <c r="O196" s="925"/>
      <c r="P196" s="107"/>
      <c r="Q196" s="22"/>
      <c r="W196" s="927"/>
      <c r="X196" s="13"/>
      <c r="Y196" s="1"/>
      <c r="Z196" s="928"/>
      <c r="AB196" s="933"/>
    </row>
    <row r="197" spans="2:28">
      <c r="B197" s="3"/>
      <c r="C197" s="13"/>
      <c r="D197" s="925"/>
      <c r="E197" s="943"/>
      <c r="F197" s="940"/>
      <c r="G197" s="936"/>
      <c r="H197" s="926"/>
      <c r="I197" s="926"/>
      <c r="J197" s="926"/>
      <c r="K197" s="926"/>
      <c r="L197" s="940"/>
      <c r="M197" s="940"/>
      <c r="N197" s="926"/>
      <c r="O197" s="925"/>
      <c r="P197" s="107"/>
      <c r="Q197" s="22"/>
      <c r="W197" s="927"/>
      <c r="X197" s="13"/>
      <c r="Y197" s="1"/>
      <c r="Z197" s="928"/>
      <c r="AB197" s="929"/>
    </row>
    <row r="198" spans="2:28" ht="12" customHeight="1">
      <c r="B198" s="3"/>
      <c r="C198" s="13"/>
      <c r="D198" s="925"/>
      <c r="E198" s="943"/>
      <c r="F198" s="935"/>
      <c r="G198" s="936"/>
      <c r="H198" s="926"/>
      <c r="I198" s="926"/>
      <c r="J198" s="926"/>
      <c r="K198" s="926"/>
      <c r="L198" s="940"/>
      <c r="M198" s="935"/>
      <c r="N198" s="926"/>
      <c r="O198" s="925"/>
      <c r="P198" s="107"/>
      <c r="Q198" s="22"/>
      <c r="W198" s="927"/>
      <c r="X198" s="13"/>
      <c r="Y198" s="1"/>
      <c r="Z198" s="928"/>
      <c r="AB198" s="929"/>
    </row>
    <row r="199" spans="2:28" ht="12.75" customHeight="1">
      <c r="B199" s="3"/>
      <c r="C199" s="13"/>
      <c r="D199" s="925"/>
      <c r="E199" s="943"/>
      <c r="F199" s="940"/>
      <c r="G199" s="936"/>
      <c r="H199" s="926"/>
      <c r="I199" s="926"/>
      <c r="J199" s="926"/>
      <c r="K199" s="926"/>
      <c r="L199" s="936"/>
      <c r="M199" s="936"/>
      <c r="N199" s="9"/>
      <c r="O199" s="925"/>
      <c r="P199" s="107"/>
      <c r="Q199" s="22"/>
      <c r="W199" s="927"/>
      <c r="X199" s="13"/>
      <c r="Y199" s="1"/>
      <c r="Z199" s="928"/>
      <c r="AB199" s="929"/>
    </row>
    <row r="200" spans="2:28" ht="11.25" customHeight="1">
      <c r="B200" s="3"/>
      <c r="C200" s="13"/>
      <c r="D200" s="925"/>
      <c r="E200" s="943"/>
      <c r="F200" s="940"/>
      <c r="G200" s="940"/>
      <c r="H200" s="926"/>
      <c r="I200" s="926"/>
      <c r="J200" s="926"/>
      <c r="K200" s="935"/>
      <c r="L200" s="947"/>
      <c r="M200" s="940"/>
      <c r="N200" s="936"/>
      <c r="O200" s="925"/>
      <c r="P200" s="107"/>
      <c r="Q200" s="22"/>
      <c r="W200" s="927"/>
      <c r="X200" s="13"/>
      <c r="Y200" s="1"/>
      <c r="Z200" s="928"/>
      <c r="AB200" s="929"/>
    </row>
    <row r="201" spans="2:28" ht="12" customHeight="1">
      <c r="B201" s="3"/>
      <c r="C201" s="13"/>
      <c r="D201" s="925"/>
      <c r="E201" s="943"/>
      <c r="F201" s="935"/>
      <c r="G201" s="936"/>
      <c r="H201" s="926"/>
      <c r="I201" s="926"/>
      <c r="J201" s="926"/>
      <c r="K201" s="926"/>
      <c r="L201" s="935"/>
      <c r="M201" s="935"/>
      <c r="N201" s="926"/>
      <c r="O201" s="925"/>
      <c r="P201" s="107"/>
      <c r="Q201" s="22"/>
      <c r="W201" s="927"/>
      <c r="X201" s="13"/>
      <c r="Y201" s="1"/>
      <c r="Z201" s="928"/>
      <c r="AB201" s="929"/>
    </row>
    <row r="202" spans="2:28">
      <c r="B202" s="3"/>
      <c r="C202" s="13"/>
      <c r="D202" s="925"/>
      <c r="E202" s="943"/>
      <c r="F202" s="940"/>
      <c r="G202" s="936"/>
      <c r="H202" s="926"/>
      <c r="I202" s="926"/>
      <c r="J202" s="926"/>
      <c r="K202" s="926"/>
      <c r="L202" s="936"/>
      <c r="M202" s="936"/>
      <c r="N202" s="926"/>
      <c r="O202" s="925"/>
      <c r="P202" s="938"/>
      <c r="Q202" s="22"/>
      <c r="W202" s="927"/>
      <c r="X202" s="13"/>
      <c r="Y202" s="1"/>
      <c r="Z202" s="928"/>
      <c r="AB202" s="939"/>
    </row>
    <row r="203" spans="2:28" ht="13.5" customHeight="1">
      <c r="B203" s="3"/>
      <c r="C203" s="13"/>
      <c r="D203" s="925"/>
      <c r="E203" s="943"/>
      <c r="F203" s="935"/>
      <c r="G203" s="936"/>
      <c r="H203" s="926"/>
      <c r="I203" s="926"/>
      <c r="J203" s="926"/>
      <c r="K203" s="926"/>
      <c r="L203" s="936"/>
      <c r="M203" s="936"/>
      <c r="N203" s="926"/>
      <c r="O203" s="925"/>
      <c r="P203" s="107"/>
      <c r="Q203" s="22"/>
      <c r="W203" s="927"/>
      <c r="X203" s="13"/>
      <c r="Y203" s="1"/>
      <c r="Z203" s="928"/>
      <c r="AB203" s="929"/>
    </row>
    <row r="204" spans="2:28" ht="13.5" customHeight="1">
      <c r="B204" s="3"/>
      <c r="C204" s="13"/>
      <c r="D204" s="925"/>
      <c r="E204" s="943"/>
      <c r="F204" s="936"/>
      <c r="G204" s="940"/>
      <c r="H204" s="926"/>
      <c r="I204" s="926"/>
      <c r="J204" s="926"/>
      <c r="K204" s="926"/>
      <c r="L204" s="947"/>
      <c r="M204" s="940"/>
      <c r="N204" s="926"/>
      <c r="O204" s="925"/>
      <c r="P204" s="938"/>
      <c r="Q204" s="22"/>
      <c r="W204" s="927"/>
      <c r="X204" s="13"/>
      <c r="Y204" s="1"/>
      <c r="Z204" s="928"/>
      <c r="AB204" s="939"/>
    </row>
    <row r="205" spans="2:28" hidden="1">
      <c r="B205" s="3"/>
      <c r="C205" s="13"/>
      <c r="D205" s="925"/>
      <c r="E205" s="943"/>
      <c r="F205" s="940"/>
      <c r="G205" s="936"/>
      <c r="H205" s="926"/>
      <c r="I205" s="926"/>
      <c r="J205" s="926"/>
      <c r="K205" s="926"/>
      <c r="L205" s="935"/>
      <c r="M205" s="935"/>
      <c r="N205" s="926"/>
      <c r="O205" s="925"/>
      <c r="P205" s="107"/>
      <c r="Q205" s="22"/>
      <c r="W205" s="927"/>
      <c r="X205" s="13"/>
      <c r="Y205" s="1"/>
      <c r="Z205" s="928"/>
      <c r="AB205" s="933"/>
    </row>
    <row r="206" spans="2:28" ht="13.5" customHeight="1">
      <c r="B206" s="3"/>
      <c r="C206" s="4"/>
      <c r="D206" s="925"/>
      <c r="E206" s="943"/>
      <c r="F206" s="936"/>
      <c r="G206" s="936"/>
      <c r="H206" s="926"/>
      <c r="I206" s="926"/>
      <c r="J206" s="926"/>
      <c r="K206" s="926"/>
      <c r="L206" s="940"/>
      <c r="M206" s="940"/>
      <c r="N206" s="926"/>
      <c r="O206" s="925"/>
      <c r="P206" s="107"/>
      <c r="Q206" s="22"/>
      <c r="W206" s="927"/>
      <c r="X206" s="13"/>
      <c r="Y206" s="1"/>
      <c r="Z206" s="928"/>
      <c r="AB206" s="929"/>
    </row>
    <row r="207" spans="2:28" ht="12" customHeight="1">
      <c r="B207" s="3"/>
      <c r="C207" s="13"/>
      <c r="D207" s="925"/>
      <c r="E207" s="943"/>
      <c r="F207" s="935"/>
      <c r="G207" s="936"/>
      <c r="H207" s="947"/>
      <c r="I207" s="926"/>
      <c r="J207" s="926"/>
      <c r="K207" s="926"/>
      <c r="L207" s="935"/>
      <c r="M207" s="936"/>
      <c r="N207" s="926"/>
      <c r="O207" s="930"/>
      <c r="P207" s="938"/>
      <c r="Q207" s="22"/>
      <c r="W207" s="927"/>
      <c r="X207" s="13"/>
      <c r="Y207" s="1"/>
      <c r="Z207" s="928"/>
      <c r="AB207" s="939"/>
    </row>
    <row r="208" spans="2:28" ht="13.5" customHeight="1">
      <c r="B208" s="3"/>
      <c r="C208" s="13"/>
      <c r="D208" s="925"/>
      <c r="E208" s="943"/>
      <c r="F208" s="947"/>
      <c r="G208" s="947"/>
      <c r="H208" s="926"/>
      <c r="I208" s="926"/>
      <c r="J208" s="926"/>
      <c r="K208" s="926"/>
      <c r="L208" s="948"/>
      <c r="M208" s="947"/>
      <c r="N208" s="926"/>
      <c r="O208" s="930"/>
      <c r="P208" s="107"/>
      <c r="Q208" s="22"/>
      <c r="W208" s="927"/>
      <c r="X208" s="13"/>
      <c r="Y208" s="1"/>
      <c r="Z208" s="928"/>
      <c r="AB208" s="942"/>
    </row>
    <row r="209" spans="2:28">
      <c r="B209" s="3"/>
      <c r="C209" s="13"/>
      <c r="D209" s="925"/>
      <c r="E209" s="943"/>
      <c r="F209" s="151"/>
      <c r="G209" s="151"/>
      <c r="H209" s="151"/>
      <c r="I209" s="151"/>
      <c r="J209" s="151"/>
      <c r="K209" s="151"/>
      <c r="L209" s="151"/>
      <c r="M209" s="151"/>
      <c r="N209" s="151"/>
      <c r="O209" s="930"/>
      <c r="P209" s="107"/>
      <c r="Q209" s="22"/>
      <c r="W209" s="927"/>
      <c r="X209" s="13"/>
      <c r="Y209" s="1"/>
      <c r="Z209" s="928"/>
      <c r="AB209" s="929"/>
    </row>
    <row r="210" spans="2:28" ht="12.75" customHeight="1">
      <c r="B210" s="3"/>
      <c r="C210" s="13"/>
      <c r="D210" s="925"/>
      <c r="E210" s="943"/>
      <c r="F210" s="151"/>
      <c r="G210" s="151"/>
      <c r="H210" s="151"/>
      <c r="I210" s="151"/>
      <c r="J210" s="151"/>
      <c r="K210" s="151"/>
      <c r="L210" s="151"/>
      <c r="M210" s="151"/>
      <c r="N210" s="151"/>
      <c r="O210" s="930"/>
      <c r="P210" s="107"/>
      <c r="Q210" s="22"/>
      <c r="W210" s="927"/>
      <c r="X210" s="13"/>
      <c r="Y210" s="1"/>
      <c r="Z210" s="928"/>
      <c r="AB210" s="929"/>
    </row>
    <row r="211" spans="2:28" ht="12" customHeight="1">
      <c r="B211" s="3"/>
      <c r="C211" s="13"/>
      <c r="D211" s="925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930"/>
      <c r="P211" s="107"/>
      <c r="Q211" s="22"/>
      <c r="W211" s="927"/>
      <c r="X211" s="13"/>
      <c r="Y211" s="1"/>
      <c r="Z211" s="928"/>
      <c r="AB211" s="929"/>
    </row>
    <row r="212" spans="2:28" ht="12.75" customHeight="1">
      <c r="B212" s="3"/>
      <c r="C212" s="13"/>
      <c r="D212" s="925"/>
      <c r="E212" s="151"/>
      <c r="F212" s="151"/>
      <c r="G212" s="151"/>
      <c r="H212" s="151"/>
      <c r="I212" s="151"/>
      <c r="J212" s="151"/>
      <c r="K212" s="944"/>
      <c r="L212" s="151"/>
      <c r="M212" s="151"/>
      <c r="N212" s="151"/>
      <c r="O212" s="932"/>
      <c r="P212" s="107"/>
      <c r="Q212" s="22"/>
      <c r="W212" s="945"/>
      <c r="X212" s="13"/>
      <c r="Y212" s="946"/>
      <c r="Z212" s="928"/>
      <c r="AB212" s="929"/>
    </row>
  </sheetData>
  <pageMargins left="0.118055555555556" right="0.118055555555556" top="0.15763888888888899" bottom="0.15763888888888899" header="0.51180555555555496" footer="0.51180555555555496"/>
  <pageSetup paperSize="9" scale="66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181F-4865-4B5A-9583-9D93E0EF0BEC}">
  <sheetPr>
    <pageSetUpPr fitToPage="1"/>
  </sheetPr>
  <dimension ref="B1:AH212"/>
  <sheetViews>
    <sheetView topLeftCell="A10" zoomScaleNormal="100" workbookViewId="0">
      <pane xSplit="1" topLeftCell="B1" activePane="topRight" state="frozen"/>
      <selection pane="topRight" sqref="A1:T43"/>
    </sheetView>
  </sheetViews>
  <sheetFormatPr defaultRowHeight="15"/>
  <cols>
    <col min="1" max="1" width="1.85546875" customWidth="1"/>
    <col min="2" max="2" width="4" customWidth="1"/>
    <col min="3" max="3" width="32.7109375" customWidth="1"/>
    <col min="4" max="4" width="8.7109375" customWidth="1"/>
    <col min="5" max="5" width="7.28515625" customWidth="1"/>
    <col min="6" max="6" width="6.85546875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7.7109375" customWidth="1"/>
    <col min="15" max="15" width="9" customWidth="1"/>
    <col min="16" max="16" width="7.28515625" customWidth="1"/>
    <col min="17" max="17" width="7" customWidth="1"/>
    <col min="18" max="18" width="7.42578125" customWidth="1"/>
    <col min="19" max="19" width="7.85546875" customWidth="1"/>
    <col min="20" max="20" width="7.28515625" customWidth="1"/>
    <col min="21" max="21" width="15.7109375" customWidth="1"/>
    <col min="23" max="23" width="7.7109375" customWidth="1"/>
    <col min="24" max="24" width="7.85546875" customWidth="1"/>
    <col min="25" max="25" width="7.28515625" customWidth="1"/>
    <col min="26" max="26" width="12.28515625" customWidth="1"/>
    <col min="27" max="27" width="6.7109375" customWidth="1"/>
    <col min="28" max="28" width="7" customWidth="1"/>
    <col min="29" max="29" width="5.5703125" customWidth="1"/>
    <col min="30" max="30" width="9" customWidth="1"/>
    <col min="31" max="31" width="1.28515625" customWidth="1"/>
    <col min="32" max="32" width="16" customWidth="1"/>
    <col min="33" max="33" width="17" customWidth="1"/>
    <col min="34" max="34" width="14.42578125" customWidth="1"/>
  </cols>
  <sheetData>
    <row r="1" spans="2:34" ht="10.5" customHeight="1"/>
    <row r="2" spans="2:34" ht="15.75" thickBot="1">
      <c r="B2" s="143" t="s">
        <v>514</v>
      </c>
      <c r="D2" s="94" t="s">
        <v>27</v>
      </c>
      <c r="J2" s="94" t="s">
        <v>441</v>
      </c>
    </row>
    <row r="3" spans="2:34" ht="13.5" customHeight="1">
      <c r="B3" s="88"/>
      <c r="C3" s="634"/>
      <c r="D3" s="27" t="s">
        <v>28</v>
      </c>
      <c r="E3" s="603" t="s">
        <v>353</v>
      </c>
      <c r="F3" s="67"/>
      <c r="G3" s="67"/>
      <c r="H3" s="67"/>
      <c r="I3" s="67"/>
      <c r="J3" s="67"/>
      <c r="K3" s="67"/>
      <c r="L3" s="67"/>
      <c r="M3" s="51"/>
      <c r="N3" s="51"/>
      <c r="O3" s="68"/>
      <c r="P3" s="68"/>
      <c r="Q3" s="173" t="s">
        <v>29</v>
      </c>
      <c r="R3" s="173" t="s">
        <v>30</v>
      </c>
      <c r="S3" s="2236" t="s">
        <v>933</v>
      </c>
      <c r="T3" s="2236" t="s">
        <v>933</v>
      </c>
      <c r="V3" s="22"/>
      <c r="W3" s="13"/>
    </row>
    <row r="4" spans="2:34" ht="13.5" customHeight="1">
      <c r="B4" s="61"/>
      <c r="C4" s="635"/>
      <c r="D4" s="636" t="s">
        <v>287</v>
      </c>
      <c r="E4" s="1124" t="s">
        <v>440</v>
      </c>
      <c r="F4" s="14"/>
      <c r="G4" s="14"/>
      <c r="H4" s="14"/>
      <c r="I4" s="14"/>
      <c r="J4" s="14"/>
      <c r="K4" s="14"/>
      <c r="L4" s="14"/>
      <c r="M4" s="13"/>
      <c r="N4" s="13"/>
      <c r="Q4" s="1517" t="s">
        <v>303</v>
      </c>
      <c r="R4" s="636" t="s">
        <v>31</v>
      </c>
      <c r="S4" s="2237" t="s">
        <v>129</v>
      </c>
      <c r="T4" s="2237" t="s">
        <v>129</v>
      </c>
      <c r="V4" s="22"/>
      <c r="W4" s="13"/>
    </row>
    <row r="5" spans="2:34" ht="12.75" customHeight="1" thickBot="1">
      <c r="B5" s="61"/>
      <c r="C5" s="637" t="s">
        <v>32</v>
      </c>
      <c r="D5" s="70" t="s">
        <v>29</v>
      </c>
      <c r="E5" s="1123" t="s">
        <v>302</v>
      </c>
      <c r="F5" s="72"/>
      <c r="G5" s="72"/>
      <c r="H5" s="72"/>
      <c r="I5" s="29" t="s">
        <v>931</v>
      </c>
      <c r="J5" s="29"/>
      <c r="K5" s="72"/>
      <c r="L5" s="872" t="s">
        <v>145</v>
      </c>
      <c r="M5" s="52"/>
      <c r="N5" s="52"/>
      <c r="O5" s="29"/>
      <c r="P5" s="29"/>
      <c r="Q5" s="636" t="s">
        <v>34</v>
      </c>
      <c r="R5" s="636" t="s">
        <v>33</v>
      </c>
      <c r="S5" s="2238" t="s">
        <v>934</v>
      </c>
      <c r="T5" s="2237" t="s">
        <v>934</v>
      </c>
      <c r="U5" s="62"/>
      <c r="V5" s="22"/>
      <c r="W5" s="13"/>
      <c r="AD5" s="922"/>
    </row>
    <row r="6" spans="2:34">
      <c r="B6" s="61" t="s">
        <v>288</v>
      </c>
      <c r="C6" s="635"/>
      <c r="D6" s="69" t="s">
        <v>46</v>
      </c>
      <c r="E6" s="27" t="s">
        <v>35</v>
      </c>
      <c r="F6" s="27" t="s">
        <v>36</v>
      </c>
      <c r="G6" s="27" t="s">
        <v>37</v>
      </c>
      <c r="H6" s="27" t="s">
        <v>38</v>
      </c>
      <c r="I6" s="26" t="s">
        <v>39</v>
      </c>
      <c r="J6" s="27" t="s">
        <v>40</v>
      </c>
      <c r="K6" s="26" t="s">
        <v>41</v>
      </c>
      <c r="L6" s="27" t="s">
        <v>42</v>
      </c>
      <c r="M6" s="26" t="s">
        <v>43</v>
      </c>
      <c r="N6" s="1101" t="s">
        <v>44</v>
      </c>
      <c r="O6" s="27" t="s">
        <v>44</v>
      </c>
      <c r="P6" s="1101" t="s">
        <v>550</v>
      </c>
      <c r="Q6" s="636">
        <v>12</v>
      </c>
      <c r="R6" s="636" t="s">
        <v>45</v>
      </c>
      <c r="S6" s="636" t="s">
        <v>34</v>
      </c>
      <c r="T6" s="1517" t="s">
        <v>935</v>
      </c>
      <c r="V6" s="22"/>
      <c r="W6" s="13"/>
      <c r="AB6" s="150"/>
      <c r="AD6" s="922"/>
    </row>
    <row r="7" spans="2:34" ht="12" customHeight="1">
      <c r="B7" s="61"/>
      <c r="C7" s="637" t="s">
        <v>289</v>
      </c>
      <c r="E7" s="70" t="s">
        <v>47</v>
      </c>
      <c r="F7" s="70" t="s">
        <v>47</v>
      </c>
      <c r="G7" s="70" t="s">
        <v>47</v>
      </c>
      <c r="H7" s="70" t="s">
        <v>47</v>
      </c>
      <c r="I7" s="22" t="s">
        <v>47</v>
      </c>
      <c r="J7" s="70" t="s">
        <v>47</v>
      </c>
      <c r="K7" s="70" t="s">
        <v>47</v>
      </c>
      <c r="L7" s="22" t="s">
        <v>47</v>
      </c>
      <c r="M7" s="70" t="s">
        <v>47</v>
      </c>
      <c r="N7" s="607" t="s">
        <v>47</v>
      </c>
      <c r="O7" s="70" t="s">
        <v>47</v>
      </c>
      <c r="P7" s="607" t="s">
        <v>47</v>
      </c>
      <c r="Q7" s="636" t="s">
        <v>936</v>
      </c>
      <c r="R7" s="636" t="s">
        <v>279</v>
      </c>
      <c r="S7" s="636" t="s">
        <v>937</v>
      </c>
      <c r="T7" s="1517"/>
      <c r="U7" s="62"/>
      <c r="V7" s="22"/>
      <c r="W7" s="13"/>
      <c r="AB7" s="150"/>
      <c r="AD7" s="923"/>
    </row>
    <row r="8" spans="2:34" ht="14.25" customHeight="1" thickBot="1">
      <c r="B8" s="61"/>
      <c r="C8" s="638"/>
      <c r="D8" s="73" t="s">
        <v>290</v>
      </c>
      <c r="E8" s="52"/>
      <c r="F8" s="53"/>
      <c r="G8" s="52"/>
      <c r="H8" s="53"/>
      <c r="I8" s="106"/>
      <c r="J8" s="53"/>
      <c r="K8" s="53"/>
      <c r="L8" s="52"/>
      <c r="M8" s="53"/>
      <c r="N8" s="106"/>
      <c r="O8" s="985"/>
      <c r="P8" s="2227"/>
      <c r="Q8" s="636"/>
      <c r="R8" s="636" t="s">
        <v>280</v>
      </c>
      <c r="S8" s="2239">
        <v>0.45</v>
      </c>
      <c r="T8" s="2240">
        <v>1</v>
      </c>
      <c r="U8" s="3"/>
      <c r="V8" s="22"/>
      <c r="W8" s="13"/>
      <c r="Y8" s="345"/>
      <c r="Z8" s="22"/>
      <c r="AA8" s="3"/>
      <c r="AB8" s="924"/>
      <c r="AD8" s="923"/>
    </row>
    <row r="9" spans="2:34">
      <c r="B9" s="639">
        <v>1</v>
      </c>
      <c r="C9" s="640" t="s">
        <v>291</v>
      </c>
      <c r="D9" s="189">
        <v>54</v>
      </c>
      <c r="E9" s="157">
        <f>'12-18л. РАСКЛАДКА'!Y11</f>
        <v>40</v>
      </c>
      <c r="F9" s="75">
        <f>'12-18л. РАСКЛАДКА'!Y70</f>
        <v>50</v>
      </c>
      <c r="G9" s="75">
        <f>'12-18л. РАСКЛАДКА'!Y132</f>
        <v>40</v>
      </c>
      <c r="H9" s="75">
        <f>'12-18л. РАСКЛАДКА'!Y189</f>
        <v>50</v>
      </c>
      <c r="I9" s="75">
        <f>'12-18л. РАСКЛАДКА'!Y245</f>
        <v>90</v>
      </c>
      <c r="J9" s="75">
        <f>'12-18л. РАСКЛАДКА'!Y300</f>
        <v>44</v>
      </c>
      <c r="K9" s="75">
        <f>'12-18л. РАСКЛАДКА'!Y354</f>
        <v>40</v>
      </c>
      <c r="L9" s="75">
        <f>'12-18л. РАСКЛАДКА'!Y405</f>
        <v>80</v>
      </c>
      <c r="M9" s="75">
        <f>'12-18л. РАСКЛАДКА'!Y458</f>
        <v>40</v>
      </c>
      <c r="N9" s="75">
        <f>'12-18л. РАСКЛАДКА'!Y513</f>
        <v>50</v>
      </c>
      <c r="O9" s="75">
        <f>'12-18л. РАСКЛАДКА'!Y567</f>
        <v>60</v>
      </c>
      <c r="P9" s="2215">
        <f>'12-18л. РАСКЛАДКА'!Y623</f>
        <v>64</v>
      </c>
      <c r="Q9" s="2250">
        <f>E9+F9+G9+H9+I9+J9+K9+L9+M9+N9+O9+P9</f>
        <v>648</v>
      </c>
      <c r="R9" s="2614">
        <f>(Q9*100/S9)-100</f>
        <v>0</v>
      </c>
      <c r="S9" s="2241">
        <f>(T9*45/100)*12</f>
        <v>648</v>
      </c>
      <c r="T9" s="2242">
        <v>120</v>
      </c>
      <c r="U9" s="3"/>
      <c r="Y9" s="927"/>
      <c r="Z9" s="13"/>
      <c r="AA9" s="1"/>
      <c r="AB9" s="928"/>
      <c r="AD9" s="929"/>
    </row>
    <row r="10" spans="2:34">
      <c r="B10" s="596">
        <v>2</v>
      </c>
      <c r="C10" s="238" t="s">
        <v>48</v>
      </c>
      <c r="D10" s="160">
        <v>90</v>
      </c>
      <c r="E10" s="157">
        <f>'12-18л. РАСКЛАДКА'!Y12</f>
        <v>105</v>
      </c>
      <c r="F10" s="75">
        <f>'12-18л. РАСКЛАДКА'!Y71</f>
        <v>110</v>
      </c>
      <c r="G10" s="75">
        <f>'12-18л. РАСКЛАДКА'!Y133</f>
        <v>107</v>
      </c>
      <c r="H10" s="75">
        <f>'12-18л. РАСКЛАДКА'!Y190</f>
        <v>70</v>
      </c>
      <c r="I10" s="75">
        <f>'12-18л. РАСКЛАДКА'!Y246</f>
        <v>82</v>
      </c>
      <c r="J10" s="75">
        <f>'12-18л. РАСКЛАДКА'!Y301</f>
        <v>120</v>
      </c>
      <c r="K10" s="75">
        <f>'12-18л. РАСКЛАДКА'!Y355</f>
        <v>83.5</v>
      </c>
      <c r="L10" s="75">
        <f>'12-18л. РАСКЛАДКА'!Y406</f>
        <v>66</v>
      </c>
      <c r="M10" s="75">
        <f>'12-18л. РАСКЛАДКА'!Y459</f>
        <v>110</v>
      </c>
      <c r="N10" s="75">
        <f>'12-18л. РАСКЛАДКА'!Y514</f>
        <v>66</v>
      </c>
      <c r="O10" s="75">
        <f>'12-18л. РАСКЛАДКА'!Y568</f>
        <v>90.5</v>
      </c>
      <c r="P10" s="2215">
        <f>'12-18л. РАСКЛАДКА'!Y624</f>
        <v>70</v>
      </c>
      <c r="Q10" s="2251">
        <f>E10+F10+G10+H10+I10+J10+K10+L10+M10+N10+O10+P10</f>
        <v>1080</v>
      </c>
      <c r="R10" s="2564">
        <f t="shared" ref="R10:R43" si="0">(Q10*100/S10)-100</f>
        <v>0</v>
      </c>
      <c r="S10" s="2243">
        <f t="shared" ref="S10:S43" si="1">(T10*45/100)*12</f>
        <v>1080</v>
      </c>
      <c r="T10" s="2244">
        <v>200</v>
      </c>
      <c r="U10" s="3"/>
      <c r="Y10" s="927"/>
      <c r="Z10" s="13"/>
      <c r="AA10" s="1"/>
      <c r="AB10" s="928"/>
      <c r="AD10" s="929"/>
    </row>
    <row r="11" spans="2:34">
      <c r="B11" s="596">
        <v>3</v>
      </c>
      <c r="C11" s="238" t="s">
        <v>49</v>
      </c>
      <c r="D11" s="160">
        <v>9</v>
      </c>
      <c r="E11" s="157">
        <f>'12-18л. РАСКЛАДКА'!Y13</f>
        <v>4.1399999999999997</v>
      </c>
      <c r="F11" s="75">
        <f>'12-18л. РАСКЛАДКА'!Y72</f>
        <v>1.35</v>
      </c>
      <c r="G11" s="75">
        <f>'12-18л. РАСКЛАДКА'!Y134</f>
        <v>4.71</v>
      </c>
      <c r="H11" s="75">
        <f>'12-18л. РАСКЛАДКА'!Y191</f>
        <v>0</v>
      </c>
      <c r="I11" s="75">
        <f>'12-18л. РАСКЛАДКА'!Y247</f>
        <v>27.125</v>
      </c>
      <c r="J11" s="75">
        <f>'12-18л. РАСКЛАДКА'!Y302</f>
        <v>11.35</v>
      </c>
      <c r="K11" s="75">
        <f>'12-18л. РАСКЛАДКА'!Y356</f>
        <v>6.8</v>
      </c>
      <c r="L11" s="75">
        <f>'12-18л. РАСКЛАДКА'!Y407</f>
        <v>6.4700000000000006</v>
      </c>
      <c r="M11" s="75">
        <f>'12-18л. РАСКЛАДКА'!Y460</f>
        <v>2.2000000000000002</v>
      </c>
      <c r="N11" s="75">
        <f>'12-18л. РАСКЛАДКА'!Y515</f>
        <v>29.664999999999999</v>
      </c>
      <c r="O11" s="75">
        <f>'12-18л. РАСКЛАДКА'!Y569</f>
        <v>6.45</v>
      </c>
      <c r="P11" s="2215">
        <f>'12-18л. РАСКЛАДКА'!Y625</f>
        <v>7.74</v>
      </c>
      <c r="Q11" s="2251">
        <f t="shared" ref="Q11:Q42" si="2">E11+F11+G11+H11+I11+J11+K11+L11+M11+N11+O11+P11</f>
        <v>108</v>
      </c>
      <c r="R11" s="2564">
        <f t="shared" si="0"/>
        <v>0</v>
      </c>
      <c r="S11" s="2243">
        <f t="shared" si="1"/>
        <v>108</v>
      </c>
      <c r="T11" s="2244">
        <v>20</v>
      </c>
      <c r="U11" s="3"/>
      <c r="Y11" s="927"/>
      <c r="Z11" s="13"/>
      <c r="AA11" s="1"/>
      <c r="AB11" s="928"/>
      <c r="AD11" s="931"/>
    </row>
    <row r="12" spans="2:34">
      <c r="B12" s="596">
        <v>4</v>
      </c>
      <c r="C12" s="238" t="s">
        <v>50</v>
      </c>
      <c r="D12" s="160">
        <v>22.5</v>
      </c>
      <c r="E12" s="157">
        <f>'12-18л. РАСКЛАДКА'!Y14</f>
        <v>0</v>
      </c>
      <c r="F12" s="75">
        <f>'12-18л. РАСКЛАДКА'!Y73</f>
        <v>20.7</v>
      </c>
      <c r="G12" s="75">
        <f>'12-18л. РАСКЛАДКА'!Y135</f>
        <v>38.85</v>
      </c>
      <c r="H12" s="75">
        <f>'12-18л. РАСКЛАДКА'!Y192</f>
        <v>30.8</v>
      </c>
      <c r="I12" s="75">
        <f>'12-18л. РАСКЛАДКА'!Y248</f>
        <v>0</v>
      </c>
      <c r="J12" s="75">
        <f>'12-18л. РАСКЛАДКА'!Y303</f>
        <v>5</v>
      </c>
      <c r="K12" s="75">
        <f>'12-18л. РАСКЛАДКА'!Y357</f>
        <v>5.05</v>
      </c>
      <c r="L12" s="75">
        <f>'12-18л. РАСКЛАДКА'!Y408</f>
        <v>20</v>
      </c>
      <c r="M12" s="75">
        <f>'12-18л. РАСКЛАДКА'!Y461</f>
        <v>47.6</v>
      </c>
      <c r="N12" s="75">
        <f>'12-18л. РАСКЛАДКА'!Y516</f>
        <v>4.91</v>
      </c>
      <c r="O12" s="75">
        <f>'12-18л. РАСКЛАДКА'!Y570</f>
        <v>57.09</v>
      </c>
      <c r="P12" s="2215">
        <f>'12-18л. РАСКЛАДКА'!Y626</f>
        <v>40</v>
      </c>
      <c r="Q12" s="2251">
        <f t="shared" si="2"/>
        <v>270</v>
      </c>
      <c r="R12" s="2564">
        <f t="shared" si="0"/>
        <v>0</v>
      </c>
      <c r="S12" s="2243">
        <f t="shared" si="1"/>
        <v>270</v>
      </c>
      <c r="T12" s="2244">
        <v>50</v>
      </c>
      <c r="U12" s="3"/>
      <c r="Y12" s="927"/>
      <c r="Z12" s="13"/>
      <c r="AA12" s="1"/>
      <c r="AB12" s="928"/>
      <c r="AD12" s="929"/>
    </row>
    <row r="13" spans="2:34">
      <c r="B13" s="596">
        <v>5</v>
      </c>
      <c r="C13" s="238" t="s">
        <v>51</v>
      </c>
      <c r="D13" s="160">
        <v>9</v>
      </c>
      <c r="E13" s="157">
        <f>'12-18л. РАСКЛАДКА'!Y15</f>
        <v>49.1</v>
      </c>
      <c r="F13" s="75">
        <f>'12-18л. РАСКЛАДКА'!Y74</f>
        <v>20.9</v>
      </c>
      <c r="G13" s="75">
        <f>'12-18л. РАСКЛАДКА'!Y136</f>
        <v>0</v>
      </c>
      <c r="H13" s="75">
        <f>'12-18л. РАСКЛАДКА'!Y193</f>
        <v>0</v>
      </c>
      <c r="I13" s="75">
        <f>'12-18л. РАСКЛАДКА'!Y249</f>
        <v>0</v>
      </c>
      <c r="J13" s="75">
        <f>'12-18л. РАСКЛАДКА'!Y304</f>
        <v>0</v>
      </c>
      <c r="K13" s="75">
        <f>'12-18л. РАСКЛАДКА'!Y358</f>
        <v>24</v>
      </c>
      <c r="L13" s="75">
        <f>'12-18л. РАСКЛАДКА'!Y409</f>
        <v>0</v>
      </c>
      <c r="M13" s="75">
        <f>'12-18л. РАСКЛАДКА'!Y462</f>
        <v>0</v>
      </c>
      <c r="N13" s="75">
        <f>'12-18л. РАСКЛАДКА'!Y517</f>
        <v>0</v>
      </c>
      <c r="O13" s="75">
        <f>'12-18л. РАСКЛАДКА'!Y571</f>
        <v>0</v>
      </c>
      <c r="P13" s="2215">
        <f>'12-18л. РАСКЛАДКА'!Y627</f>
        <v>14</v>
      </c>
      <c r="Q13" s="2251">
        <f t="shared" si="2"/>
        <v>108</v>
      </c>
      <c r="R13" s="2564">
        <f t="shared" si="0"/>
        <v>0</v>
      </c>
      <c r="S13" s="2243">
        <f t="shared" si="1"/>
        <v>108</v>
      </c>
      <c r="T13" s="2244">
        <v>20</v>
      </c>
      <c r="U13" s="3"/>
      <c r="Y13" s="927"/>
      <c r="Z13" s="13"/>
      <c r="AA13" s="1"/>
      <c r="AB13" s="928"/>
      <c r="AD13" s="933"/>
    </row>
    <row r="14" spans="2:34">
      <c r="B14" s="596">
        <v>6</v>
      </c>
      <c r="C14" s="238" t="s">
        <v>52</v>
      </c>
      <c r="D14" s="160">
        <v>84.15</v>
      </c>
      <c r="E14" s="157">
        <f>'12-18л. РАСКЛАДКА'!Y16</f>
        <v>20</v>
      </c>
      <c r="F14" s="75">
        <f>'12-18л. РАСКЛАДКА'!Y75</f>
        <v>0</v>
      </c>
      <c r="G14" s="75">
        <f>'12-18л. РАСКЛАДКА'!Y137</f>
        <v>50</v>
      </c>
      <c r="H14" s="75">
        <f>'12-18л. РАСКЛАДКА'!Y194</f>
        <v>146</v>
      </c>
      <c r="I14" s="75">
        <f>'12-18л. РАСКЛАДКА'!Y250</f>
        <v>83.710000000000008</v>
      </c>
      <c r="J14" s="75">
        <f>'12-18л. РАСКЛАДКА'!Y305</f>
        <v>183.42</v>
      </c>
      <c r="K14" s="75">
        <f>'12-18л. РАСКЛАДКА'!Y359</f>
        <v>132.6</v>
      </c>
      <c r="L14" s="75">
        <f>'12-18л. РАСКЛАДКА'!Y410</f>
        <v>142.82</v>
      </c>
      <c r="M14" s="75">
        <f>'12-18л. РАСКЛАДКА'!Y463</f>
        <v>118.30000000000001</v>
      </c>
      <c r="N14" s="75">
        <f>'12-18л. РАСКЛАДКА'!Y518</f>
        <v>41.71</v>
      </c>
      <c r="O14" s="75">
        <f>'12-18л. РАСКЛАДКА'!Y572</f>
        <v>38.08</v>
      </c>
      <c r="P14" s="2215">
        <f>'12-18л. РАСКЛАДКА'!Y628</f>
        <v>53.16</v>
      </c>
      <c r="Q14" s="2251">
        <f t="shared" si="2"/>
        <v>1009.8</v>
      </c>
      <c r="R14" s="2564">
        <f t="shared" si="0"/>
        <v>0</v>
      </c>
      <c r="S14" s="2243">
        <f t="shared" si="1"/>
        <v>1009.8000000000001</v>
      </c>
      <c r="T14" s="2244">
        <v>187</v>
      </c>
      <c r="U14" s="3"/>
      <c r="Y14" s="927"/>
      <c r="Z14" s="13"/>
      <c r="AA14" s="1"/>
      <c r="AB14" s="928"/>
      <c r="AD14" s="931"/>
    </row>
    <row r="15" spans="2:34">
      <c r="B15" s="596">
        <v>7</v>
      </c>
      <c r="C15" s="238" t="s">
        <v>292</v>
      </c>
      <c r="D15" s="160">
        <v>144</v>
      </c>
      <c r="E15" s="157">
        <f>'12-18л. РАСКЛАДКА'!Y17</f>
        <v>211.7</v>
      </c>
      <c r="F15" s="75">
        <f>'12-18л. РАСКЛАДКА'!Y76</f>
        <v>118.19999999999999</v>
      </c>
      <c r="G15" s="75">
        <f>'12-18л. РАСКЛАДКА'!Y138</f>
        <v>140.18699999999998</v>
      </c>
      <c r="H15" s="75">
        <f>'12-18л. РАСКЛАДКА'!Y195</f>
        <v>161.12</v>
      </c>
      <c r="I15" s="75">
        <f>'12-18л. РАСКЛАДКА'!Y251</f>
        <v>108</v>
      </c>
      <c r="J15" s="75">
        <f>'12-18л. РАСКЛАДКА'!Y306</f>
        <v>205.3</v>
      </c>
      <c r="K15" s="75">
        <f>'12-18л. РАСКЛАДКА'!Y360</f>
        <v>227.62000000000003</v>
      </c>
      <c r="L15" s="75">
        <f>'12-18л. РАСКЛАДКА'!Y411</f>
        <v>85.6</v>
      </c>
      <c r="M15" s="75">
        <f>'12-18л. РАСКЛАДКА'!Y464</f>
        <v>188.03</v>
      </c>
      <c r="N15" s="75">
        <f>'12-18л. РАСКЛАДКА'!Y519</f>
        <v>116.47</v>
      </c>
      <c r="O15" s="75">
        <f>'12-18л. РАСКЛАДКА'!Y573</f>
        <v>276.75299999999999</v>
      </c>
      <c r="P15" s="2215">
        <f>'12-18л. РАСКЛАДКА'!Y629</f>
        <v>187.4</v>
      </c>
      <c r="Q15" s="2251">
        <f t="shared" si="2"/>
        <v>2026.38</v>
      </c>
      <c r="R15" s="2564">
        <f t="shared" si="0"/>
        <v>17.267361111111114</v>
      </c>
      <c r="S15" s="2243">
        <f t="shared" si="1"/>
        <v>1728</v>
      </c>
      <c r="T15" s="2244">
        <v>320</v>
      </c>
      <c r="U15" s="66"/>
      <c r="Y15" s="927"/>
      <c r="Z15" s="13"/>
      <c r="AA15" s="1"/>
      <c r="AB15" s="928"/>
      <c r="AD15" s="933"/>
      <c r="AH15" s="176"/>
    </row>
    <row r="16" spans="2:34">
      <c r="B16" s="596">
        <v>8</v>
      </c>
      <c r="C16" s="238" t="s">
        <v>293</v>
      </c>
      <c r="D16" s="160">
        <v>83.25</v>
      </c>
      <c r="E16" s="157">
        <f>'12-18л. РАСКЛАДКА'!Y18</f>
        <v>110</v>
      </c>
      <c r="F16" s="75">
        <f>'12-18л. РАСКЛАДКА'!Y77</f>
        <v>120</v>
      </c>
      <c r="G16" s="75">
        <f>'12-18л. РАСКЛАДКА'!Y139</f>
        <v>140.5</v>
      </c>
      <c r="H16" s="75">
        <f>'12-18л. РАСКЛАДКА'!Y196</f>
        <v>0</v>
      </c>
      <c r="I16" s="75">
        <f>'12-18л. РАСКЛАДКА'!Y252</f>
        <v>112</v>
      </c>
      <c r="J16" s="75">
        <f>'12-18л. РАСКЛАДКА'!Y307</f>
        <v>37</v>
      </c>
      <c r="K16" s="75">
        <f>'12-18л. РАСКЛАДКА'!Y361</f>
        <v>0</v>
      </c>
      <c r="L16" s="75">
        <f>'12-18л. РАСКЛАДКА'!Y412</f>
        <v>110</v>
      </c>
      <c r="M16" s="75">
        <f>'12-18л. РАСКЛАДКА'!Y465</f>
        <v>119</v>
      </c>
      <c r="N16" s="75">
        <f>'12-18л. РАСКЛАДКА'!Y520</f>
        <v>0</v>
      </c>
      <c r="O16" s="75">
        <f>'12-18л. РАСКЛАДКА'!Y574</f>
        <v>140.5</v>
      </c>
      <c r="P16" s="2215">
        <f>'12-18л. РАСКЛАДКА'!Y630</f>
        <v>110</v>
      </c>
      <c r="Q16" s="2251">
        <f t="shared" si="2"/>
        <v>999</v>
      </c>
      <c r="R16" s="2564">
        <f t="shared" si="0"/>
        <v>0</v>
      </c>
      <c r="S16" s="2243">
        <f t="shared" si="1"/>
        <v>999</v>
      </c>
      <c r="T16" s="2244">
        <v>185</v>
      </c>
      <c r="U16" s="3"/>
      <c r="Y16" s="927"/>
      <c r="Z16" s="13"/>
      <c r="AA16" s="1"/>
      <c r="AB16" s="928"/>
      <c r="AD16" s="929"/>
    </row>
    <row r="17" spans="2:34">
      <c r="B17" s="596">
        <v>9</v>
      </c>
      <c r="C17" s="238" t="s">
        <v>122</v>
      </c>
      <c r="D17" s="160">
        <v>9</v>
      </c>
      <c r="E17" s="157">
        <f>'12-18л. РАСКЛАДКА'!Y19</f>
        <v>0</v>
      </c>
      <c r="F17" s="75">
        <f>'12-18л. РАСКЛАДКА'!Y78</f>
        <v>0</v>
      </c>
      <c r="G17" s="75">
        <f>'12-18л. РАСКЛАДКА'!Y140</f>
        <v>25</v>
      </c>
      <c r="H17" s="75">
        <f>'12-18л. РАСКЛАДКА'!Y197</f>
        <v>0</v>
      </c>
      <c r="I17" s="75">
        <f>'12-18л. РАСКЛАДКА'!Y253</f>
        <v>0</v>
      </c>
      <c r="J17" s="75">
        <f>'12-18л. РАСКЛАДКА'!Y308</f>
        <v>0</v>
      </c>
      <c r="K17" s="75">
        <f>'12-18л. РАСКЛАДКА'!Y362</f>
        <v>0</v>
      </c>
      <c r="L17" s="75">
        <f>'12-18л. РАСКЛАДКА'!Y413</f>
        <v>24</v>
      </c>
      <c r="M17" s="75">
        <f>'12-18л. РАСКЛАДКА'!Y466</f>
        <v>14</v>
      </c>
      <c r="N17" s="75">
        <f>'12-18л. РАСКЛАДКА'!Y521</f>
        <v>25</v>
      </c>
      <c r="O17" s="75">
        <f>'12-18л. РАСКЛАДКА'!Y575</f>
        <v>0</v>
      </c>
      <c r="P17" s="2215">
        <f>'12-18л. РАСКЛАДКА'!Y631</f>
        <v>20</v>
      </c>
      <c r="Q17" s="2251">
        <f t="shared" si="2"/>
        <v>108</v>
      </c>
      <c r="R17" s="2564">
        <f t="shared" si="0"/>
        <v>0</v>
      </c>
      <c r="S17" s="2243">
        <f t="shared" si="1"/>
        <v>108</v>
      </c>
      <c r="T17" s="2244">
        <v>20</v>
      </c>
      <c r="U17" s="3"/>
      <c r="Y17" s="927"/>
      <c r="Z17" s="13"/>
      <c r="AA17" s="1"/>
      <c r="AB17" s="928"/>
      <c r="AD17" s="941"/>
    </row>
    <row r="18" spans="2:34">
      <c r="B18" s="596">
        <v>10</v>
      </c>
      <c r="C18" s="238" t="s">
        <v>294</v>
      </c>
      <c r="D18" s="160">
        <v>90</v>
      </c>
      <c r="E18" s="157">
        <f>'12-18л. РАСКЛАДКА'!Y20</f>
        <v>0</v>
      </c>
      <c r="F18" s="75">
        <f>'12-18л. РАСКЛАДКА'!Y79</f>
        <v>0</v>
      </c>
      <c r="G18" s="75">
        <f>'12-18л. РАСКЛАДКА'!Y141</f>
        <v>0</v>
      </c>
      <c r="H18" s="75">
        <f>'12-18л. РАСКЛАДКА'!Y198</f>
        <v>0</v>
      </c>
      <c r="I18" s="75">
        <f>'12-18л. РАСКЛАДКА'!Y254</f>
        <v>200</v>
      </c>
      <c r="J18" s="75">
        <f>'12-18л. РАСКЛАДКА'!Y309</f>
        <v>200</v>
      </c>
      <c r="K18" s="75">
        <f>'12-18л. РАСКЛАДКА'!Y363</f>
        <v>200</v>
      </c>
      <c r="L18" s="75">
        <f>'12-18л. РАСКЛАДКА'!Y414</f>
        <v>200</v>
      </c>
      <c r="M18" s="75">
        <f>'12-18л. РАСКЛАДКА'!Y467</f>
        <v>80</v>
      </c>
      <c r="N18" s="75">
        <f>'12-18л. РАСКЛАДКА'!Y522</f>
        <v>200</v>
      </c>
      <c r="O18" s="75">
        <f>'12-18л. РАСКЛАДКА'!Y576</f>
        <v>0</v>
      </c>
      <c r="P18" s="2215">
        <f>'12-18л. РАСКЛАДКА'!Y632</f>
        <v>0</v>
      </c>
      <c r="Q18" s="2251">
        <f t="shared" si="2"/>
        <v>1080</v>
      </c>
      <c r="R18" s="2564">
        <f t="shared" si="0"/>
        <v>0</v>
      </c>
      <c r="S18" s="2243">
        <f t="shared" si="1"/>
        <v>1080</v>
      </c>
      <c r="T18" s="2244">
        <v>200</v>
      </c>
      <c r="U18" s="3"/>
      <c r="Y18" s="927"/>
      <c r="Z18" s="13"/>
      <c r="AA18" s="1"/>
      <c r="AB18" s="928"/>
      <c r="AD18" s="941"/>
    </row>
    <row r="19" spans="2:34">
      <c r="B19" s="596">
        <v>11</v>
      </c>
      <c r="C19" s="238" t="s">
        <v>139</v>
      </c>
      <c r="D19" s="160">
        <v>35.1</v>
      </c>
      <c r="E19" s="157">
        <f>'12-18л. РАСКЛАДКА'!Y21</f>
        <v>2.5</v>
      </c>
      <c r="F19" s="75">
        <f>'12-18л. РАСКЛАДКА'!Y80</f>
        <v>0</v>
      </c>
      <c r="G19" s="75">
        <f>'12-18л. РАСКЛАДКА'!Y142</f>
        <v>85.5</v>
      </c>
      <c r="H19" s="75">
        <f>'12-18л. РАСКЛАДКА'!Y199</f>
        <v>72.599999999999994</v>
      </c>
      <c r="I19" s="75">
        <f>'12-18л. РАСКЛАДКА'!Y255</f>
        <v>47.01</v>
      </c>
      <c r="J19" s="75">
        <f>'12-18л. РАСКЛАДКА'!Y310</f>
        <v>15.6</v>
      </c>
      <c r="K19" s="75">
        <f>'12-18л. РАСКЛАДКА'!Y364</f>
        <v>28.4</v>
      </c>
      <c r="L19" s="75">
        <f>'12-18л. РАСКЛАДКА'!Y415</f>
        <v>0</v>
      </c>
      <c r="M19" s="75">
        <f>'12-18л. РАСКЛАДКА'!Y468</f>
        <v>81.5</v>
      </c>
      <c r="N19" s="75">
        <f>'12-18л. РАСКЛАДКА'!Y523</f>
        <v>30.99</v>
      </c>
      <c r="O19" s="75">
        <f>'12-18л. РАСКЛАДКА'!Y577</f>
        <v>2.5</v>
      </c>
      <c r="P19" s="2215">
        <f>'12-18л. РАСКЛАДКА'!Y633</f>
        <v>54.6</v>
      </c>
      <c r="Q19" s="2251">
        <f t="shared" si="2"/>
        <v>421.20000000000005</v>
      </c>
      <c r="R19" s="2564">
        <f t="shared" si="0"/>
        <v>0</v>
      </c>
      <c r="S19" s="2243">
        <f t="shared" si="1"/>
        <v>421.20000000000005</v>
      </c>
      <c r="T19" s="2244">
        <v>78</v>
      </c>
      <c r="U19" s="3"/>
      <c r="Y19" s="927"/>
      <c r="Z19" s="13"/>
      <c r="AA19" s="1"/>
      <c r="AB19" s="928"/>
      <c r="AD19" s="941"/>
    </row>
    <row r="20" spans="2:34">
      <c r="B20" s="596">
        <v>12</v>
      </c>
      <c r="C20" s="238" t="s">
        <v>140</v>
      </c>
      <c r="D20" s="160">
        <v>23.85</v>
      </c>
      <c r="E20" s="157">
        <f>'12-18л. РАСКЛАДКА'!Y22</f>
        <v>0</v>
      </c>
      <c r="F20" s="75">
        <f>'12-18л. РАСКЛАДКА'!Y81</f>
        <v>59.34</v>
      </c>
      <c r="G20" s="75">
        <f>'12-18л. РАСКЛАДКА'!Y143</f>
        <v>0</v>
      </c>
      <c r="H20" s="75">
        <f>'12-18л. РАСКЛАДКА'!Y200</f>
        <v>0</v>
      </c>
      <c r="I20" s="75">
        <f>'12-18л. РАСКЛАДКА'!Y256</f>
        <v>31.82</v>
      </c>
      <c r="J20" s="75">
        <f>'12-18л. РАСКЛАДКА'!Y311</f>
        <v>13.1</v>
      </c>
      <c r="K20" s="75">
        <f>'12-18л. РАСКЛАДКА'!Y365</f>
        <v>44.66</v>
      </c>
      <c r="L20" s="75">
        <f>'12-18л. РАСКЛАДКА'!Y416</f>
        <v>2.5</v>
      </c>
      <c r="M20" s="75">
        <f>'12-18л. РАСКЛАДКА'!Y469</f>
        <v>0</v>
      </c>
      <c r="N20" s="75">
        <f>'12-18л. РАСКЛАДКА'!Y524</f>
        <v>100.18</v>
      </c>
      <c r="O20" s="75">
        <f>'12-18л. РАСКЛАДКА'!Y578</f>
        <v>0</v>
      </c>
      <c r="P20" s="2215">
        <f>'12-18л. РАСКЛАДКА'!Y634</f>
        <v>34.6</v>
      </c>
      <c r="Q20" s="2251">
        <f t="shared" si="2"/>
        <v>286.2</v>
      </c>
      <c r="R20" s="2564">
        <f t="shared" si="0"/>
        <v>0</v>
      </c>
      <c r="S20" s="2243">
        <f t="shared" si="1"/>
        <v>286.20000000000005</v>
      </c>
      <c r="T20" s="2244">
        <v>53</v>
      </c>
      <c r="U20" s="3"/>
      <c r="Y20" s="927"/>
      <c r="Z20" s="13"/>
      <c r="AA20" s="1"/>
      <c r="AB20" s="928"/>
      <c r="AD20" s="941"/>
    </row>
    <row r="21" spans="2:34" ht="12.75" customHeight="1">
      <c r="B21" s="596">
        <v>13</v>
      </c>
      <c r="C21" s="238" t="s">
        <v>53</v>
      </c>
      <c r="D21" s="160">
        <v>34.65</v>
      </c>
      <c r="E21" s="157">
        <f>'12-18л. РАСКЛАДКА'!Y23</f>
        <v>0</v>
      </c>
      <c r="F21" s="75">
        <f>'12-18л. РАСКЛАДКА'!Y82</f>
        <v>0</v>
      </c>
      <c r="G21" s="75">
        <f>'12-18л. РАСКЛАДКА'!Y144</f>
        <v>92.4</v>
      </c>
      <c r="H21" s="75">
        <f>'12-18л. РАСКЛАДКА'!Y201</f>
        <v>0</v>
      </c>
      <c r="I21" s="75">
        <f>'12-18л. РАСКЛАДКА'!Y257</f>
        <v>82.67</v>
      </c>
      <c r="J21" s="75">
        <f>'12-18л. РАСКЛАДКА'!Y312</f>
        <v>0</v>
      </c>
      <c r="K21" s="75">
        <f>'12-18л. РАСКЛАДКА'!Y366</f>
        <v>0</v>
      </c>
      <c r="L21" s="75">
        <f>'12-18л. РАСКЛАДКА'!Y417</f>
        <v>103.61</v>
      </c>
      <c r="M21" s="75">
        <f>'12-18л. РАСКЛАДКА'!Y470</f>
        <v>0</v>
      </c>
      <c r="N21" s="75">
        <f>'12-18л. РАСКЛАДКА'!Y525</f>
        <v>0</v>
      </c>
      <c r="O21" s="75">
        <f>'12-18л. РАСКЛАДКА'!Y579</f>
        <v>83.22</v>
      </c>
      <c r="P21" s="2215">
        <f>'12-18л. РАСКЛАДКА'!Y635</f>
        <v>53.9</v>
      </c>
      <c r="Q21" s="2251">
        <f t="shared" si="2"/>
        <v>415.79999999999995</v>
      </c>
      <c r="R21" s="2564">
        <f t="shared" si="0"/>
        <v>0</v>
      </c>
      <c r="S21" s="2243">
        <f t="shared" si="1"/>
        <v>415.79999999999995</v>
      </c>
      <c r="T21" s="2244">
        <v>77</v>
      </c>
      <c r="U21" s="3"/>
      <c r="Y21" s="927"/>
      <c r="Z21" s="13"/>
      <c r="AA21" s="1"/>
      <c r="AB21" s="928"/>
      <c r="AD21" s="941"/>
    </row>
    <row r="22" spans="2:34" ht="13.5" customHeight="1">
      <c r="B22" s="596">
        <v>14</v>
      </c>
      <c r="C22" s="238" t="s">
        <v>141</v>
      </c>
      <c r="D22" s="160">
        <v>18</v>
      </c>
      <c r="E22" s="157">
        <f>'12-18л. РАСКЛАДКА'!Y24</f>
        <v>88.8</v>
      </c>
      <c r="F22" s="75">
        <f>'12-18л. РАСКЛАДКА'!Y83</f>
        <v>0</v>
      </c>
      <c r="G22" s="75">
        <f>'12-18л. РАСКЛАДКА'!Y145</f>
        <v>0</v>
      </c>
      <c r="H22" s="75">
        <f>'12-18л. РАСКЛАДКА'!Y202</f>
        <v>0</v>
      </c>
      <c r="I22" s="75">
        <f>'12-18л. РАСКЛАДКА'!Y258</f>
        <v>0</v>
      </c>
      <c r="J22" s="75">
        <f>'12-18л. РАСКЛАДКА'!Y313</f>
        <v>79.2</v>
      </c>
      <c r="K22" s="75">
        <f>'12-18л. РАСКЛАДКА'!Y367</f>
        <v>0</v>
      </c>
      <c r="L22" s="75">
        <f>'12-18л. РАСКЛАДКА'!Y418</f>
        <v>48</v>
      </c>
      <c r="M22" s="75">
        <f>'12-18л. РАСКЛАДКА'!Y471</f>
        <v>0</v>
      </c>
      <c r="N22" s="75">
        <f>'12-18л. РАСКЛАДКА'!Y526</f>
        <v>0</v>
      </c>
      <c r="O22" s="75">
        <f>'12-18л. РАСКЛАДКА'!Y580</f>
        <v>0</v>
      </c>
      <c r="P22" s="2215">
        <f>'12-18л. РАСКЛАДКА'!Y636</f>
        <v>0</v>
      </c>
      <c r="Q22" s="2251">
        <f t="shared" si="2"/>
        <v>216</v>
      </c>
      <c r="R22" s="2564">
        <f t="shared" si="0"/>
        <v>0</v>
      </c>
      <c r="S22" s="2243">
        <f t="shared" si="1"/>
        <v>216</v>
      </c>
      <c r="T22" s="2244">
        <v>40</v>
      </c>
      <c r="U22" s="3"/>
      <c r="Y22" s="927"/>
      <c r="Z22" s="13"/>
      <c r="AA22" s="1"/>
      <c r="AB22" s="928"/>
      <c r="AD22" s="941"/>
    </row>
    <row r="23" spans="2:34" ht="12" customHeight="1">
      <c r="B23" s="596">
        <v>15</v>
      </c>
      <c r="C23" s="238" t="s">
        <v>295</v>
      </c>
      <c r="D23" s="160">
        <v>157.5</v>
      </c>
      <c r="E23" s="157">
        <f>'12-18л. РАСКЛАДКА'!Y25</f>
        <v>242</v>
      </c>
      <c r="F23" s="75">
        <f>'12-18л. РАСКЛАДКА'!Y84</f>
        <v>270</v>
      </c>
      <c r="G23" s="75">
        <f>'12-18л. РАСКЛАДКА'!Y146</f>
        <v>3.65</v>
      </c>
      <c r="H23" s="75">
        <f>'12-18л. РАСКЛАДКА'!Y203</f>
        <v>277.72000000000003</v>
      </c>
      <c r="I23" s="75">
        <f>'12-18л. РАСКЛАДКА'!Y259</f>
        <v>74.75</v>
      </c>
      <c r="J23" s="75">
        <f>'12-18л. РАСКЛАДКА'!Y314</f>
        <v>83</v>
      </c>
      <c r="K23" s="75">
        <f>'12-18л. РАСКЛАДКА'!Y368</f>
        <v>277.07</v>
      </c>
      <c r="L23" s="75">
        <f>'12-18л. РАСКЛАДКА'!Y419</f>
        <v>68.099999999999994</v>
      </c>
      <c r="M23" s="75">
        <f>'12-18л. РАСКЛАДКА'!Y472</f>
        <v>14.2</v>
      </c>
      <c r="N23" s="75">
        <f>'12-18л. РАСКЛАДКА'!Y527</f>
        <v>44.95</v>
      </c>
      <c r="O23" s="75">
        <f>'12-18л. РАСКЛАДКА'!Y581</f>
        <v>270.10000000000002</v>
      </c>
      <c r="P23" s="2215">
        <f>'12-18л. РАСКЛАДКА'!Y637</f>
        <v>264.45999999999998</v>
      </c>
      <c r="Q23" s="2251">
        <f t="shared" si="2"/>
        <v>1890</v>
      </c>
      <c r="R23" s="2564">
        <f t="shared" si="0"/>
        <v>0</v>
      </c>
      <c r="S23" s="2243">
        <f t="shared" si="1"/>
        <v>1890</v>
      </c>
      <c r="T23" s="2244">
        <v>350</v>
      </c>
      <c r="U23" s="3"/>
      <c r="Y23" s="927"/>
      <c r="Z23" s="13"/>
      <c r="AA23" s="1"/>
      <c r="AB23" s="928"/>
      <c r="AD23" s="931"/>
      <c r="AH23" s="176"/>
    </row>
    <row r="24" spans="2:34" ht="14.25" customHeight="1">
      <c r="B24" s="596">
        <v>16</v>
      </c>
      <c r="C24" s="238" t="s">
        <v>296</v>
      </c>
      <c r="D24" s="160">
        <v>81</v>
      </c>
      <c r="E24" s="181">
        <f>'12-18л. РАСКЛАДКА'!Y26</f>
        <v>0</v>
      </c>
      <c r="F24" s="78">
        <f>'12-18л. РАСКЛАДКА'!Y85</f>
        <v>200</v>
      </c>
      <c r="G24" s="79">
        <f>'12-18л. РАСКЛАДКА'!Y147</f>
        <v>0</v>
      </c>
      <c r="H24" s="75">
        <f>'12-18л. РАСКЛАДКА'!Y204</f>
        <v>0</v>
      </c>
      <c r="I24" s="76">
        <f>'12-18л. РАСКЛАДКА'!Y260</f>
        <v>0</v>
      </c>
      <c r="J24" s="75">
        <f>'12-18л. РАСКЛАДКА'!Y315</f>
        <v>0</v>
      </c>
      <c r="K24" s="75">
        <f>'12-18л. РАСКЛАДКА'!Y369</f>
        <v>0</v>
      </c>
      <c r="L24" s="76">
        <f>'12-18л. РАСКЛАДКА'!Y420</f>
        <v>0</v>
      </c>
      <c r="M24" s="78">
        <f>'12-18л. РАСКЛАДКА'!Y473</f>
        <v>0</v>
      </c>
      <c r="N24" s="78">
        <f>'12-18л. РАСКЛАДКА'!Y528</f>
        <v>0</v>
      </c>
      <c r="O24" s="76">
        <f>'12-18л. РАСКЛАДКА'!Y582</f>
        <v>0</v>
      </c>
      <c r="P24" s="2215">
        <f>'12-18л. РАСКЛАДКА'!Y638</f>
        <v>0</v>
      </c>
      <c r="Q24" s="2251">
        <f t="shared" si="2"/>
        <v>200</v>
      </c>
      <c r="R24" s="2564">
        <f t="shared" si="0"/>
        <v>-79.423868312757207</v>
      </c>
      <c r="S24" s="2243">
        <f t="shared" si="1"/>
        <v>972</v>
      </c>
      <c r="T24" s="2244">
        <v>180</v>
      </c>
      <c r="U24" s="3"/>
      <c r="Y24" s="927"/>
      <c r="Z24" s="13"/>
      <c r="AA24" s="1"/>
      <c r="AB24" s="928"/>
      <c r="AD24" s="939"/>
      <c r="AH24" s="176"/>
    </row>
    <row r="25" spans="2:34">
      <c r="B25" s="596">
        <v>17</v>
      </c>
      <c r="C25" s="238" t="s">
        <v>297</v>
      </c>
      <c r="D25" s="160">
        <v>27</v>
      </c>
      <c r="E25" s="181">
        <f>'12-18л. РАСКЛАДКА'!Y27</f>
        <v>0</v>
      </c>
      <c r="F25" s="78">
        <f>'12-18л. РАСКЛАДКА'!Y86</f>
        <v>0</v>
      </c>
      <c r="G25" s="79">
        <f>'12-18л. РАСКЛАДКА'!Y148</f>
        <v>0</v>
      </c>
      <c r="H25" s="75">
        <f>'12-18л. РАСКЛАДКА'!Y205</f>
        <v>60</v>
      </c>
      <c r="I25" s="76">
        <f>'12-18л. РАСКЛАДКА'!Y261</f>
        <v>126</v>
      </c>
      <c r="J25" s="75">
        <f>'12-18л. РАСКЛАДКА'!Y316</f>
        <v>0</v>
      </c>
      <c r="K25" s="75">
        <f>'12-18л. РАСКЛАДКА'!Y370</f>
        <v>0</v>
      </c>
      <c r="L25" s="76">
        <f>'12-18л. РАСКЛАДКА'!Y421</f>
        <v>0</v>
      </c>
      <c r="M25" s="78">
        <f>'12-18л. РАСКЛАДКА'!Y474</f>
        <v>0</v>
      </c>
      <c r="N25" s="78">
        <f>'12-18л. РАСКЛАДКА'!Y529</f>
        <v>126</v>
      </c>
      <c r="O25" s="76">
        <f>'12-18л. РАСКЛАДКА'!Y583</f>
        <v>0</v>
      </c>
      <c r="P25" s="2215">
        <f>'12-18л. РАСКЛАДКА'!Y639</f>
        <v>12</v>
      </c>
      <c r="Q25" s="2251">
        <f t="shared" si="2"/>
        <v>324</v>
      </c>
      <c r="R25" s="2564">
        <f t="shared" si="0"/>
        <v>0</v>
      </c>
      <c r="S25" s="2243">
        <f t="shared" si="1"/>
        <v>324</v>
      </c>
      <c r="T25" s="2244">
        <v>60</v>
      </c>
      <c r="U25" s="3"/>
      <c r="Y25" s="927"/>
      <c r="Z25" s="13"/>
      <c r="AA25" s="1"/>
      <c r="AB25" s="928"/>
      <c r="AD25" s="941"/>
    </row>
    <row r="26" spans="2:34">
      <c r="B26" s="596">
        <v>18</v>
      </c>
      <c r="C26" s="238" t="s">
        <v>54</v>
      </c>
      <c r="D26" s="160">
        <v>6.75</v>
      </c>
      <c r="E26" s="181">
        <f>'12-18л. РАСКЛАДКА'!Y28</f>
        <v>15</v>
      </c>
      <c r="F26" s="78">
        <f>'12-18л. РАСКЛАДКА'!Y87</f>
        <v>17.5</v>
      </c>
      <c r="G26" s="79">
        <f>'12-18л. РАСКЛАДКА'!Y149</f>
        <v>0</v>
      </c>
      <c r="H26" s="75">
        <f>'12-18л. РАСКЛАДКА'!Y206</f>
        <v>30</v>
      </c>
      <c r="I26" s="76">
        <f>'12-18л. РАСКЛАДКА'!Y262</f>
        <v>0</v>
      </c>
      <c r="J26" s="75">
        <f>'12-18л. РАСКЛАДКА'!Y317</f>
        <v>3</v>
      </c>
      <c r="K26" s="75">
        <f>'12-18л. РАСКЛАДКА'!Y371</f>
        <v>0</v>
      </c>
      <c r="L26" s="76">
        <f>'12-18л. РАСКЛАДКА'!Y422</f>
        <v>5</v>
      </c>
      <c r="M26" s="78">
        <f>'12-18л. РАСКЛАДКА'!Y475</f>
        <v>0</v>
      </c>
      <c r="N26" s="78">
        <f>'12-18л. РАСКЛАДКА'!Y530</f>
        <v>0</v>
      </c>
      <c r="O26" s="76">
        <f>'12-18л. РАСКЛАДКА'!Y584</f>
        <v>0</v>
      </c>
      <c r="P26" s="2215">
        <f>'12-18л. РАСКЛАДКА'!Y640</f>
        <v>10.5</v>
      </c>
      <c r="Q26" s="2251">
        <f t="shared" si="2"/>
        <v>81</v>
      </c>
      <c r="R26" s="2564">
        <f t="shared" si="0"/>
        <v>0</v>
      </c>
      <c r="S26" s="2243">
        <f t="shared" si="1"/>
        <v>81</v>
      </c>
      <c r="T26" s="2244">
        <v>15</v>
      </c>
      <c r="U26" s="3"/>
      <c r="Y26" s="927"/>
      <c r="Z26" s="13"/>
      <c r="AA26" s="1"/>
      <c r="AB26" s="928"/>
      <c r="AD26" s="941"/>
    </row>
    <row r="27" spans="2:34">
      <c r="B27" s="596">
        <v>19</v>
      </c>
      <c r="C27" s="238" t="s">
        <v>298</v>
      </c>
      <c r="D27" s="160">
        <v>4.5</v>
      </c>
      <c r="E27" s="181">
        <f>'12-18л. РАСКЛАДКА'!Y29</f>
        <v>6.8</v>
      </c>
      <c r="F27" s="78">
        <f>'12-18л. РАСКЛАДКА'!Y88</f>
        <v>0</v>
      </c>
      <c r="G27" s="79">
        <f>'12-18л. РАСКЛАДКА'!Y150</f>
        <v>0</v>
      </c>
      <c r="H27" s="75">
        <f>'12-18л. РАСКЛАДКА'!Y207</f>
        <v>6.2</v>
      </c>
      <c r="I27" s="76">
        <f>'12-18л. РАСКЛАДКА'!Y263</f>
        <v>8.75</v>
      </c>
      <c r="J27" s="75">
        <f>'12-18л. РАСКЛАДКА'!Y318</f>
        <v>6.6</v>
      </c>
      <c r="K27" s="75">
        <f>'12-18л. РАСКЛАДКА'!Y372</f>
        <v>8.1</v>
      </c>
      <c r="L27" s="76">
        <f>'12-18л. РАСКЛАДКА'!Y423</f>
        <v>2.4500000000000002</v>
      </c>
      <c r="M27" s="78">
        <f>'12-18л. РАСКЛАДКА'!Y476</f>
        <v>0</v>
      </c>
      <c r="N27" s="78">
        <f>'12-18л. РАСКЛАДКА'!Y531</f>
        <v>9.5500000000000007</v>
      </c>
      <c r="O27" s="76">
        <f>'12-18л. РАСКЛАДКА'!Y585</f>
        <v>5.55</v>
      </c>
      <c r="P27" s="2215">
        <f>'12-18л. РАСКЛАДКА'!Y641</f>
        <v>0</v>
      </c>
      <c r="Q27" s="2251">
        <f t="shared" si="2"/>
        <v>54</v>
      </c>
      <c r="R27" s="2564">
        <f t="shared" si="0"/>
        <v>0</v>
      </c>
      <c r="S27" s="2243">
        <f t="shared" si="1"/>
        <v>54</v>
      </c>
      <c r="T27" s="2244">
        <v>10</v>
      </c>
      <c r="U27" s="3"/>
      <c r="Y27" s="927"/>
      <c r="Z27" s="13"/>
      <c r="AA27" s="1"/>
      <c r="AB27" s="928"/>
      <c r="AD27" s="2232"/>
    </row>
    <row r="28" spans="2:34">
      <c r="B28" s="596">
        <v>20</v>
      </c>
      <c r="C28" s="238" t="s">
        <v>55</v>
      </c>
      <c r="D28" s="160">
        <v>15.75</v>
      </c>
      <c r="E28" s="181">
        <f>'12-18л. РАСКЛАДКА'!Y30</f>
        <v>18.2</v>
      </c>
      <c r="F28" s="78">
        <f>'12-18л. РАСКЛАДКА'!Y89</f>
        <v>13.15</v>
      </c>
      <c r="G28" s="79">
        <f>'12-18л. РАСКЛАДКА'!Y151</f>
        <v>10</v>
      </c>
      <c r="H28" s="75">
        <f>'12-18л. РАСКЛАДКА'!Y208</f>
        <v>11.2</v>
      </c>
      <c r="I28" s="76">
        <f>'12-18л. РАСКЛАДКА'!Y264</f>
        <v>22.08</v>
      </c>
      <c r="J28" s="75">
        <f>'12-18л. РАСКЛАДКА'!Y319</f>
        <v>12.589999999999998</v>
      </c>
      <c r="K28" s="75">
        <f>'12-18л. РАСКЛАДКА'!Y373</f>
        <v>11.62</v>
      </c>
      <c r="L28" s="76">
        <f>'12-18л. РАСКЛАДКА'!Y424</f>
        <v>27.419999999999998</v>
      </c>
      <c r="M28" s="78">
        <f>'12-18л. РАСКЛАДКА'!Y477</f>
        <v>8.1</v>
      </c>
      <c r="N28" s="78">
        <f>'12-18л. РАСКЛАДКА'!Y532</f>
        <v>18.099999999999998</v>
      </c>
      <c r="O28" s="76">
        <f>'12-18л. РАСКЛАДКА'!Y586</f>
        <v>19</v>
      </c>
      <c r="P28" s="2215">
        <f>'12-18л. РАСКЛАДКА'!Y642</f>
        <v>17.54</v>
      </c>
      <c r="Q28" s="2251">
        <f t="shared" si="2"/>
        <v>189</v>
      </c>
      <c r="R28" s="2564">
        <f t="shared" si="0"/>
        <v>0</v>
      </c>
      <c r="S28" s="2243">
        <f t="shared" si="1"/>
        <v>189</v>
      </c>
      <c r="T28" s="2244">
        <v>35</v>
      </c>
      <c r="U28" s="3"/>
      <c r="Y28" s="927"/>
      <c r="Z28" s="13"/>
      <c r="AA28" s="1"/>
      <c r="AB28" s="928"/>
      <c r="AD28" s="941"/>
    </row>
    <row r="29" spans="2:34">
      <c r="B29" s="596">
        <v>21</v>
      </c>
      <c r="C29" s="238" t="s">
        <v>56</v>
      </c>
      <c r="D29" s="160">
        <v>8.1</v>
      </c>
      <c r="E29" s="181">
        <f>'12-18л. РАСКЛАДКА'!Y31</f>
        <v>7.2</v>
      </c>
      <c r="F29" s="78">
        <f>'12-18л. РАСКЛАДКА'!Y90</f>
        <v>9</v>
      </c>
      <c r="G29" s="79">
        <f>'12-18л. РАСКЛАДКА'!Y152</f>
        <v>13.8</v>
      </c>
      <c r="H29" s="75">
        <f>'12-18л. РАСКЛАДКА'!Y209</f>
        <v>7.2</v>
      </c>
      <c r="I29" s="76">
        <f>'12-18л. РАСКЛАДКА'!Y265</f>
        <v>4.5</v>
      </c>
      <c r="J29" s="75">
        <f>'12-18л. РАСКЛАДКА'!Y320</f>
        <v>5.6</v>
      </c>
      <c r="K29" s="75">
        <f>'12-18л. РАСКЛАДКА'!Y374</f>
        <v>10.740000000000002</v>
      </c>
      <c r="L29" s="76">
        <f>'12-18л. РАСКЛАДКА'!Y425</f>
        <v>3</v>
      </c>
      <c r="M29" s="78">
        <f>'12-18л. РАСКЛАДКА'!Y478</f>
        <v>11</v>
      </c>
      <c r="N29" s="78">
        <f>'12-18л. РАСКЛАДКА'!Y533</f>
        <v>5</v>
      </c>
      <c r="O29" s="76">
        <f>'12-18л. РАСКЛАДКА'!Y587</f>
        <v>5</v>
      </c>
      <c r="P29" s="2215">
        <f>'12-18л. РАСКЛАДКА'!Y643</f>
        <v>15.16</v>
      </c>
      <c r="Q29" s="2251">
        <f t="shared" si="2"/>
        <v>97.2</v>
      </c>
      <c r="R29" s="2564">
        <f t="shared" si="0"/>
        <v>0</v>
      </c>
      <c r="S29" s="2243">
        <f t="shared" si="1"/>
        <v>97.199999999999989</v>
      </c>
      <c r="T29" s="2244">
        <v>18</v>
      </c>
      <c r="U29" s="3"/>
      <c r="Y29" s="927"/>
      <c r="Z29" s="13"/>
      <c r="AA29" s="1"/>
      <c r="AB29" s="928"/>
      <c r="AD29" s="941"/>
    </row>
    <row r="30" spans="2:34" ht="12" customHeight="1">
      <c r="B30" s="596">
        <v>22</v>
      </c>
      <c r="C30" s="238" t="s">
        <v>299</v>
      </c>
      <c r="D30" s="160">
        <v>18</v>
      </c>
      <c r="E30" s="181">
        <f>'12-18л. РАСКЛАДКА'!Y32</f>
        <v>0</v>
      </c>
      <c r="F30" s="78">
        <f>'12-18л. РАСКЛАДКА'!Y91</f>
        <v>118.88</v>
      </c>
      <c r="G30" s="79">
        <f>'12-18л. РАСКЛАДКА'!Y153</f>
        <v>1.4</v>
      </c>
      <c r="H30" s="75">
        <f>'12-18л. РАСКЛАДКА'!Y210</f>
        <v>6.24</v>
      </c>
      <c r="I30" s="76">
        <f>'12-18л. РАСКЛАДКА'!Y266</f>
        <v>13.12</v>
      </c>
      <c r="J30" s="75">
        <f>'12-18л. РАСКЛАДКА'!Y321</f>
        <v>4</v>
      </c>
      <c r="K30" s="75">
        <f>'12-18л. РАСКЛАДКА'!Y375</f>
        <v>22.9</v>
      </c>
      <c r="L30" s="76">
        <f>'12-18л. РАСКЛАДКА'!Y426</f>
        <v>0</v>
      </c>
      <c r="M30" s="78">
        <f>'12-18л. РАСКЛАДКА'!Y479</f>
        <v>0</v>
      </c>
      <c r="N30" s="78">
        <f>'12-18л. РАСКЛАДКА'!Y534</f>
        <v>14.92</v>
      </c>
      <c r="O30" s="76">
        <f>'12-18л. РАСКЛАДКА'!Y588</f>
        <v>2.94</v>
      </c>
      <c r="P30" s="2215">
        <f>'12-18л. РАСКЛАДКА'!Y644</f>
        <v>31.6</v>
      </c>
      <c r="Q30" s="2251">
        <f t="shared" si="2"/>
        <v>215.99999999999997</v>
      </c>
      <c r="R30" s="2564">
        <f t="shared" si="0"/>
        <v>0</v>
      </c>
      <c r="S30" s="2243">
        <f t="shared" si="1"/>
        <v>216</v>
      </c>
      <c r="T30" s="2244">
        <v>40</v>
      </c>
      <c r="U30" s="3"/>
      <c r="Y30" s="927"/>
      <c r="Z30" s="13"/>
      <c r="AA30" s="1"/>
      <c r="AB30" s="928"/>
      <c r="AD30" s="941"/>
    </row>
    <row r="31" spans="2:34" ht="13.5" customHeight="1">
      <c r="B31" s="596">
        <v>23</v>
      </c>
      <c r="C31" s="238" t="s">
        <v>57</v>
      </c>
      <c r="D31" s="160">
        <v>15.75</v>
      </c>
      <c r="E31" s="181">
        <f>'12-18л. РАСКЛАДКА'!Y33</f>
        <v>28.1</v>
      </c>
      <c r="F31" s="78">
        <f>'12-18л. РАСКЛАДКА'!Y92</f>
        <v>23.099999999999998</v>
      </c>
      <c r="G31" s="79">
        <f>'12-18л. РАСКЛАДКА'!Y154</f>
        <v>8.1999999999999993</v>
      </c>
      <c r="H31" s="75">
        <f>'12-18л. РАСКЛАДКА'!Y211</f>
        <v>24.3</v>
      </c>
      <c r="I31" s="76">
        <f>'12-18л. РАСКЛАДКА'!Y267</f>
        <v>6</v>
      </c>
      <c r="J31" s="75">
        <f>'12-18л. РАСКЛАДКА'!Y322</f>
        <v>5</v>
      </c>
      <c r="K31" s="75">
        <f>'12-18л. РАСКЛАДКА'!Y376</f>
        <v>3</v>
      </c>
      <c r="L31" s="76">
        <f>'12-18л. РАСКЛАДКА'!Y427</f>
        <v>8</v>
      </c>
      <c r="M31" s="78">
        <f>'12-18л. РАСКЛАДКА'!Y480</f>
        <v>30</v>
      </c>
      <c r="N31" s="78">
        <f>'12-18л. РАСКЛАДКА'!Y535</f>
        <v>7</v>
      </c>
      <c r="O31" s="76">
        <f>'12-18л. РАСКЛАДКА'!Y589</f>
        <v>20.5</v>
      </c>
      <c r="P31" s="2215">
        <f>'12-18л. РАСКЛАДКА'!Y645</f>
        <v>25.799999999999997</v>
      </c>
      <c r="Q31" s="2251">
        <f>E31+F31+G31+H31+I31+J31+K31+L31+M31+N31+O31+P31</f>
        <v>189</v>
      </c>
      <c r="R31" s="2564">
        <f t="shared" si="0"/>
        <v>0</v>
      </c>
      <c r="S31" s="2243">
        <f>(T31*45/100)*12</f>
        <v>189</v>
      </c>
      <c r="T31" s="2244">
        <v>35</v>
      </c>
      <c r="U31" s="3"/>
      <c r="Y31" s="927"/>
      <c r="Z31" s="13"/>
      <c r="AA31" s="1"/>
      <c r="AB31" s="928"/>
      <c r="AD31" s="941"/>
    </row>
    <row r="32" spans="2:34" ht="12.75" customHeight="1">
      <c r="B32" s="596">
        <v>24</v>
      </c>
      <c r="C32" s="238" t="s">
        <v>58</v>
      </c>
      <c r="D32" s="160">
        <v>6.75</v>
      </c>
      <c r="E32" s="181">
        <f>'12-18л. РАСКЛАДКА'!Y34</f>
        <v>0</v>
      </c>
      <c r="F32" s="78">
        <f>'12-18л. РАСКЛАДКА'!Y93</f>
        <v>0</v>
      </c>
      <c r="G32" s="79">
        <f>'12-18л. РАСКЛАДКА'!Y155</f>
        <v>21</v>
      </c>
      <c r="H32" s="75">
        <f>'12-18л. РАСКЛАДКА'!Y212</f>
        <v>0</v>
      </c>
      <c r="I32" s="76">
        <f>'12-18л. РАСКЛАДКА'!Y268</f>
        <v>0</v>
      </c>
      <c r="J32" s="75">
        <f>'12-18л. РАСКЛАДКА'!Y323</f>
        <v>0</v>
      </c>
      <c r="K32" s="75">
        <f>'12-18л. РАСКЛАДКА'!Y377</f>
        <v>0</v>
      </c>
      <c r="L32" s="76">
        <f>'12-18л. РАСКЛАДКА'!Y428</f>
        <v>0</v>
      </c>
      <c r="M32" s="78">
        <f>'12-18л. РАСКЛАДКА'!Y481</f>
        <v>0</v>
      </c>
      <c r="N32" s="78">
        <f>'12-18л. РАСКЛАДКА'!Y536</f>
        <v>60</v>
      </c>
      <c r="O32" s="76">
        <f>'12-18л. РАСКЛАДКА'!Y590</f>
        <v>0</v>
      </c>
      <c r="P32" s="2215">
        <f>'12-18л. РАСКЛАДКА'!Y646</f>
        <v>0</v>
      </c>
      <c r="Q32" s="2251">
        <f t="shared" si="2"/>
        <v>81</v>
      </c>
      <c r="R32" s="2564">
        <f t="shared" si="0"/>
        <v>0</v>
      </c>
      <c r="S32" s="2243">
        <f t="shared" si="1"/>
        <v>81</v>
      </c>
      <c r="T32" s="2244">
        <v>15</v>
      </c>
      <c r="U32" s="3"/>
      <c r="Y32" s="927"/>
      <c r="Z32" s="13"/>
      <c r="AA32" s="1"/>
      <c r="AB32" s="928"/>
      <c r="AD32" s="941"/>
    </row>
    <row r="33" spans="2:34" ht="12" customHeight="1">
      <c r="B33" s="596">
        <v>25</v>
      </c>
      <c r="C33" s="238" t="s">
        <v>59</v>
      </c>
      <c r="D33" s="160">
        <v>0.9</v>
      </c>
      <c r="E33" s="181">
        <f>'12-18л. РАСКЛАДКА'!Y35</f>
        <v>1</v>
      </c>
      <c r="F33" s="78">
        <f>'12-18л. РАСКЛАДКА'!Y94</f>
        <v>0</v>
      </c>
      <c r="G33" s="79">
        <f>'12-18л. РАСКЛАДКА'!Y156</f>
        <v>1</v>
      </c>
      <c r="H33" s="75">
        <f>'12-18л. РАСКЛАДКА'!Y213</f>
        <v>1</v>
      </c>
      <c r="I33" s="76">
        <f>'12-18л. РАСКЛАДКА'!Y269</f>
        <v>1</v>
      </c>
      <c r="J33" s="75">
        <f>'12-18л. РАСКЛАДКА'!Y324</f>
        <v>0</v>
      </c>
      <c r="K33" s="75">
        <f>'12-18л. РАСКЛАДКА'!Y378</f>
        <v>0</v>
      </c>
      <c r="L33" s="76">
        <f>'12-18л. РАСКЛАДКА'!Y429</f>
        <v>0</v>
      </c>
      <c r="M33" s="78">
        <f>'12-18л. РАСКЛАДКА'!Y482</f>
        <v>1</v>
      </c>
      <c r="N33" s="78">
        <f>'12-18л. РАСКЛАДКА'!Y537</f>
        <v>0</v>
      </c>
      <c r="O33" s="76">
        <f>'12-18л. РАСКЛАДКА'!Y591</f>
        <v>1</v>
      </c>
      <c r="P33" s="2215">
        <f>'12-18л. РАСКЛАДКА'!Y647</f>
        <v>0</v>
      </c>
      <c r="Q33" s="2248">
        <f t="shared" si="2"/>
        <v>6</v>
      </c>
      <c r="R33" s="2564">
        <f t="shared" si="0"/>
        <v>-44.44444444444445</v>
      </c>
      <c r="S33" s="2243">
        <f t="shared" si="1"/>
        <v>10.8</v>
      </c>
      <c r="T33" s="2244">
        <v>2</v>
      </c>
      <c r="U33" s="3"/>
      <c r="Y33" s="927"/>
      <c r="Z33" s="13"/>
      <c r="AA33" s="1"/>
      <c r="AB33" s="928"/>
      <c r="AD33" s="939"/>
      <c r="AH33" s="176"/>
    </row>
    <row r="34" spans="2:34" ht="15.75" customHeight="1">
      <c r="B34" s="596">
        <v>26</v>
      </c>
      <c r="C34" s="238" t="s">
        <v>300</v>
      </c>
      <c r="D34" s="160">
        <v>0.54</v>
      </c>
      <c r="E34" s="181">
        <f>'12-18л. РАСКЛАДКА'!Y36</f>
        <v>2.7</v>
      </c>
      <c r="F34" s="78">
        <f>'12-18л. РАСКЛАДКА'!Y95</f>
        <v>0</v>
      </c>
      <c r="G34" s="79">
        <f>'12-18л. РАСКЛАДКА'!Y157</f>
        <v>0</v>
      </c>
      <c r="H34" s="75">
        <f>'12-18л. РАСКЛАДКА'!Y214</f>
        <v>2.7</v>
      </c>
      <c r="I34" s="76">
        <f>'12-18л. РАСКЛАДКА'!Y270</f>
        <v>0</v>
      </c>
      <c r="J34" s="75">
        <f>'12-18л. РАСКЛАДКА'!Y325</f>
        <v>0</v>
      </c>
      <c r="K34" s="75">
        <f>'12-18л. РАСКЛАДКА'!Y379</f>
        <v>0</v>
      </c>
      <c r="L34" s="76">
        <f>'12-18л. РАСКЛАДКА'!Y430</f>
        <v>0</v>
      </c>
      <c r="M34" s="78">
        <f>'12-18л. РАСКЛАДКА'!Y483</f>
        <v>0</v>
      </c>
      <c r="N34" s="78">
        <f>'12-18л. РАСКЛАДКА'!Y538</f>
        <v>0</v>
      </c>
      <c r="O34" s="76">
        <f>'12-18л. РАСКЛАДКА'!Y592</f>
        <v>0</v>
      </c>
      <c r="P34" s="2215">
        <f>'12-18л. РАСКЛАДКА'!Y648</f>
        <v>1.44</v>
      </c>
      <c r="Q34" s="2251">
        <f t="shared" si="2"/>
        <v>6.84</v>
      </c>
      <c r="R34" s="2564">
        <f t="shared" si="0"/>
        <v>5.5555555555555429</v>
      </c>
      <c r="S34" s="2243">
        <f t="shared" si="1"/>
        <v>6.48</v>
      </c>
      <c r="T34" s="2244">
        <v>1.2</v>
      </c>
      <c r="U34" s="3"/>
      <c r="Y34" s="927"/>
      <c r="Z34" s="13"/>
      <c r="AA34" s="1"/>
      <c r="AB34" s="928"/>
      <c r="AD34" s="941"/>
    </row>
    <row r="35" spans="2:34" ht="12" customHeight="1">
      <c r="B35" s="596">
        <v>27</v>
      </c>
      <c r="C35" s="238" t="s">
        <v>142</v>
      </c>
      <c r="D35" s="160">
        <v>0.9</v>
      </c>
      <c r="E35" s="181">
        <f>'12-18л. РАСКЛАДКА'!Y37</f>
        <v>0</v>
      </c>
      <c r="F35" s="78">
        <f>'12-18л. РАСКЛАДКА'!Y96</f>
        <v>4.2</v>
      </c>
      <c r="G35" s="79">
        <f>'12-18л. РАСКЛАДКА'!Y158</f>
        <v>0</v>
      </c>
      <c r="H35" s="75">
        <f>'12-18л. РАСКЛАДКА'!Y215</f>
        <v>0</v>
      </c>
      <c r="I35" s="76">
        <f>'12-18л. РАСКЛАДКА'!Y271</f>
        <v>0</v>
      </c>
      <c r="J35" s="75">
        <f>'12-18л. РАСКЛАДКА'!Y326</f>
        <v>0</v>
      </c>
      <c r="K35" s="75">
        <f>'12-18л. РАСКЛАДКА'!Y380</f>
        <v>2.4</v>
      </c>
      <c r="L35" s="76">
        <f>'12-18л. РАСКЛАДКА'!Y431</f>
        <v>0</v>
      </c>
      <c r="M35" s="78">
        <f>'12-18л. РАСКЛАДКА'!Y484</f>
        <v>0</v>
      </c>
      <c r="N35" s="78">
        <f>'12-18л. РАСКЛАДКА'!Y539</f>
        <v>0</v>
      </c>
      <c r="O35" s="76">
        <f>'12-18л. РАСКЛАДКА'!Y593</f>
        <v>4.2</v>
      </c>
      <c r="P35" s="2215">
        <f>'12-18л. РАСКЛАДКА'!Y649</f>
        <v>0</v>
      </c>
      <c r="Q35" s="2251">
        <f t="shared" si="2"/>
        <v>10.8</v>
      </c>
      <c r="R35" s="2564">
        <f t="shared" si="0"/>
        <v>0</v>
      </c>
      <c r="S35" s="2243">
        <f t="shared" si="1"/>
        <v>10.8</v>
      </c>
      <c r="T35" s="2244">
        <v>2</v>
      </c>
      <c r="U35" s="3"/>
      <c r="Y35" s="927"/>
      <c r="Z35" s="13"/>
      <c r="AA35" s="1"/>
      <c r="AB35" s="928"/>
      <c r="AD35" s="941"/>
      <c r="AH35" s="176"/>
    </row>
    <row r="36" spans="2:34" ht="15" customHeight="1">
      <c r="B36" s="596">
        <v>28</v>
      </c>
      <c r="C36" s="238" t="s">
        <v>60</v>
      </c>
      <c r="D36" s="160">
        <v>0.13500000000000001</v>
      </c>
      <c r="E36" s="181">
        <f>'12-18л. РАСКЛАДКА'!Y38</f>
        <v>0</v>
      </c>
      <c r="F36" s="78">
        <f>'12-18л. РАСКЛАДКА'!Y97</f>
        <v>0</v>
      </c>
      <c r="G36" s="79">
        <f>'12-18л. РАСКЛАДКА'!Y159</f>
        <v>0</v>
      </c>
      <c r="H36" s="75">
        <f>'12-18л. РАСКЛАДКА'!Y216</f>
        <v>0</v>
      </c>
      <c r="I36" s="76">
        <f>'12-18л. РАСКЛАДКА'!Y272</f>
        <v>0</v>
      </c>
      <c r="J36" s="75">
        <f>'12-18л. РАСКЛАДКА'!Y327</f>
        <v>0</v>
      </c>
      <c r="K36" s="75">
        <f>'12-18л. РАСКЛАДКА'!Y381</f>
        <v>0</v>
      </c>
      <c r="L36" s="76">
        <f>'12-18л. РАСКЛАДКА'!Y432</f>
        <v>0</v>
      </c>
      <c r="M36" s="78">
        <f>'12-18л. РАСКЛАДКА'!Y485</f>
        <v>0</v>
      </c>
      <c r="N36" s="78">
        <f>'12-18л. РАСКЛАДКА'!Y540</f>
        <v>0</v>
      </c>
      <c r="O36" s="76">
        <f>'12-18л. РАСКЛАДКА'!Y594</f>
        <v>0</v>
      </c>
      <c r="P36" s="2215">
        <f>'12-18л. РАСКЛАДКА'!Y650</f>
        <v>0</v>
      </c>
      <c r="Q36" s="2251">
        <f t="shared" si="2"/>
        <v>0</v>
      </c>
      <c r="R36" s="2564">
        <f t="shared" si="0"/>
        <v>-100</v>
      </c>
      <c r="S36" s="2243">
        <f t="shared" si="1"/>
        <v>1.62</v>
      </c>
      <c r="T36" s="2244">
        <v>0.3</v>
      </c>
      <c r="U36" s="3"/>
      <c r="Y36" s="927"/>
      <c r="Z36" s="13"/>
      <c r="AA36" s="1"/>
      <c r="AB36" s="928"/>
      <c r="AD36" s="2226"/>
    </row>
    <row r="37" spans="2:34" ht="12.75" customHeight="1">
      <c r="B37" s="596">
        <v>29</v>
      </c>
      <c r="C37" s="641" t="s">
        <v>301</v>
      </c>
      <c r="D37" s="160">
        <v>2.25</v>
      </c>
      <c r="E37" s="181">
        <f>'12-18л. РАСКЛАДКА'!Y39</f>
        <v>2.4000000000000004</v>
      </c>
      <c r="F37" s="78">
        <f>'12-18л. РАСКЛАДКА'!Y98</f>
        <v>2.15</v>
      </c>
      <c r="G37" s="79">
        <f>'12-18л. РАСКЛАДКА'!Y160</f>
        <v>2.2999999999999998</v>
      </c>
      <c r="H37" s="75">
        <f>'12-18л. РАСКЛАДКА'!Y217</f>
        <v>1.1000000000000001</v>
      </c>
      <c r="I37" s="76">
        <f>'12-18л. РАСКЛАДКА'!Y273</f>
        <v>3.04</v>
      </c>
      <c r="J37" s="75">
        <f>'12-18л. РАСКЛАДКА'!Y328</f>
        <v>2.85</v>
      </c>
      <c r="K37" s="75">
        <f>'12-18л. РАСКЛАДКА'!Y382</f>
        <v>1.69</v>
      </c>
      <c r="L37" s="76">
        <f>'12-18л. РАСКЛАДКА'!Y433</f>
        <v>1.9300000000000002</v>
      </c>
      <c r="M37" s="78">
        <f>'12-18л. РАСКЛАДКА'!Y486</f>
        <v>1.3</v>
      </c>
      <c r="N37" s="78">
        <f>'12-18л. РАСКЛАДКА'!Y541</f>
        <v>3.25</v>
      </c>
      <c r="O37" s="76">
        <f>'12-18л. РАСКЛАДКА'!Y595</f>
        <v>2.84</v>
      </c>
      <c r="P37" s="2215">
        <f>'12-18л. РАСКЛАДКА'!Y651</f>
        <v>2.1500000000000004</v>
      </c>
      <c r="Q37" s="2251">
        <f t="shared" si="2"/>
        <v>27</v>
      </c>
      <c r="R37" s="2564">
        <f t="shared" si="0"/>
        <v>0</v>
      </c>
      <c r="S37" s="2243">
        <f t="shared" si="1"/>
        <v>27</v>
      </c>
      <c r="T37" s="2244">
        <v>5</v>
      </c>
      <c r="U37" s="3"/>
      <c r="Y37" s="927"/>
      <c r="Z37" s="13"/>
      <c r="AA37" s="1"/>
      <c r="AB37" s="928"/>
      <c r="AD37" s="941"/>
    </row>
    <row r="38" spans="2:34" ht="13.5" customHeight="1">
      <c r="B38" s="596">
        <v>30</v>
      </c>
      <c r="C38" s="238" t="s">
        <v>143</v>
      </c>
      <c r="D38" s="160">
        <v>1.8</v>
      </c>
      <c r="E38" s="181">
        <f>'12-18л. РАСКЛАДКА'!Y40</f>
        <v>0</v>
      </c>
      <c r="F38" s="78">
        <f>'12-18л. РАСКЛАДКА'!Y99</f>
        <v>0</v>
      </c>
      <c r="G38" s="79">
        <f>'12-18л. РАСКЛАДКА'!Y161</f>
        <v>0</v>
      </c>
      <c r="H38" s="75">
        <f>'12-18л. РАСКЛАДКА'!Y218</f>
        <v>0</v>
      </c>
      <c r="I38" s="76">
        <f>'12-18л. РАСКЛАДКА'!Y274</f>
        <v>4.4000000000000004</v>
      </c>
      <c r="J38" s="75">
        <f>'12-18л. РАСКЛАДКА'!Y329</f>
        <v>0</v>
      </c>
      <c r="K38" s="75">
        <f>'12-18л. РАСКЛАДКА'!Y383</f>
        <v>0</v>
      </c>
      <c r="L38" s="76">
        <f>'12-18л. РАСКЛАДКА'!Y434</f>
        <v>4.8</v>
      </c>
      <c r="M38" s="78">
        <f>'12-18л. РАСКЛАДКА'!Y487</f>
        <v>10</v>
      </c>
      <c r="N38" s="78">
        <f>'12-18л. РАСКЛАДКА'!Y542</f>
        <v>4.4000000000000004</v>
      </c>
      <c r="O38" s="76">
        <f>'12-18л. РАСКЛАДКА'!Y596</f>
        <v>0</v>
      </c>
      <c r="P38" s="2215">
        <f>'12-18л. РАСКЛАДКА'!Y652</f>
        <v>0</v>
      </c>
      <c r="Q38" s="2245">
        <f t="shared" si="2"/>
        <v>23.6</v>
      </c>
      <c r="R38" s="2564">
        <f t="shared" si="0"/>
        <v>9.2592592592592524</v>
      </c>
      <c r="S38" s="2243">
        <f t="shared" si="1"/>
        <v>21.6</v>
      </c>
      <c r="T38" s="2244">
        <v>4</v>
      </c>
      <c r="U38" s="3"/>
      <c r="Y38" s="927"/>
      <c r="Z38" s="13"/>
      <c r="AA38" s="1"/>
      <c r="AB38" s="928"/>
      <c r="AD38" s="941"/>
    </row>
    <row r="39" spans="2:34" ht="14.25" customHeight="1">
      <c r="B39" s="596">
        <v>31</v>
      </c>
      <c r="C39" s="238" t="s">
        <v>144</v>
      </c>
      <c r="D39" s="160">
        <v>0.9</v>
      </c>
      <c r="E39" s="181">
        <f>'12-18л. РАСКЛАДКА'!Y41</f>
        <v>1.1112000000000002</v>
      </c>
      <c r="F39" s="78">
        <f>'12-18л. РАСКЛАДКА'!Y100</f>
        <v>0.3115</v>
      </c>
      <c r="G39" s="79">
        <f>'12-18л. РАСКЛАДКА'!Y162</f>
        <v>1.571</v>
      </c>
      <c r="H39" s="75">
        <f>'12-18л. РАСКЛАДКА'!Y219</f>
        <v>1.0289999999999999</v>
      </c>
      <c r="I39" s="76">
        <f>'12-18л. РАСКЛАДКА'!Y275</f>
        <v>1.0999999999999999E-2</v>
      </c>
      <c r="J39" s="75">
        <f>'12-18л. РАСКЛАДКА'!Y330</f>
        <v>0.40956000000000004</v>
      </c>
      <c r="K39" s="75">
        <f>'12-18л. РАСКЛАДКА'!Y384</f>
        <v>2.3150000000000004E-2</v>
      </c>
      <c r="L39" s="76">
        <f>'12-18л. РАСКЛАДКА'!Y435</f>
        <v>0.21125000000000002</v>
      </c>
      <c r="M39" s="78">
        <f>'12-18л. РАСКЛАДКА'!Y488</f>
        <v>1.304</v>
      </c>
      <c r="N39" s="78">
        <f>'12-18л. РАСКЛАДКА'!Y543</f>
        <v>0.79224000000000006</v>
      </c>
      <c r="O39" s="76">
        <f>'12-18л. РАСКЛАДКА'!Y597</f>
        <v>2.3220000000000001</v>
      </c>
      <c r="P39" s="2215">
        <f>'12-18л. РАСКЛАДКА'!Y653</f>
        <v>1.7040999999999999</v>
      </c>
      <c r="Q39" s="2248">
        <f t="shared" si="2"/>
        <v>10.8</v>
      </c>
      <c r="R39" s="2564">
        <f t="shared" si="0"/>
        <v>0</v>
      </c>
      <c r="S39" s="2243">
        <f t="shared" si="1"/>
        <v>10.8</v>
      </c>
      <c r="T39" s="2244">
        <v>2</v>
      </c>
      <c r="U39" s="3"/>
      <c r="Y39" s="927"/>
      <c r="Z39" s="13"/>
      <c r="AA39" s="1"/>
      <c r="AB39" s="928"/>
      <c r="AD39" s="2233"/>
    </row>
    <row r="40" spans="2:34" ht="15" customHeight="1">
      <c r="B40" s="596">
        <v>32</v>
      </c>
      <c r="C40" s="238" t="s">
        <v>62</v>
      </c>
      <c r="D40" s="160">
        <v>40.5</v>
      </c>
      <c r="E40" s="182">
        <f>'12-18л. МЕНЮ  '!E104</f>
        <v>43.063600000000001</v>
      </c>
      <c r="F40" s="108">
        <f>'12-18л. МЕНЮ  '!E157</f>
        <v>39.04</v>
      </c>
      <c r="G40" s="108">
        <f>'12-18л. МЕНЮ  '!E215</f>
        <v>41.096299999999999</v>
      </c>
      <c r="H40" s="108">
        <f>'12-18л. МЕНЮ  '!E267</f>
        <v>42.305</v>
      </c>
      <c r="I40" s="108">
        <f>'12-18л. МЕНЮ  '!E322</f>
        <v>40.338999999999999</v>
      </c>
      <c r="J40" s="108">
        <f>'12-18л. МЕНЮ  '!E377</f>
        <v>37.156100000000002</v>
      </c>
      <c r="K40" s="108">
        <f>'12-18л. МЕНЮ  '!E490</f>
        <v>39.927000000000007</v>
      </c>
      <c r="L40" s="108">
        <f>'12-18л. МЕНЮ  '!E545</f>
        <v>41.017000000000003</v>
      </c>
      <c r="M40" s="108">
        <f>'12-18л. МЕНЮ  '!E599</f>
        <v>38.283700000000003</v>
      </c>
      <c r="N40" s="108">
        <f>'12-18л. МЕНЮ  '!E654</f>
        <v>38.047000000000004</v>
      </c>
      <c r="O40" s="108">
        <f>'12-18л. МЕНЮ  '!E707</f>
        <v>38.611049999999999</v>
      </c>
      <c r="P40" s="1508">
        <f>'12-18л. МЕНЮ  '!E764</f>
        <v>47.114249999999998</v>
      </c>
      <c r="Q40" s="2248">
        <f t="shared" si="2"/>
        <v>486</v>
      </c>
      <c r="R40" s="2564">
        <f t="shared" si="0"/>
        <v>0</v>
      </c>
      <c r="S40" s="2243">
        <f t="shared" si="1"/>
        <v>486</v>
      </c>
      <c r="T40" s="2244">
        <v>90</v>
      </c>
      <c r="U40" s="3"/>
      <c r="Y40" s="927"/>
      <c r="Z40" s="13"/>
      <c r="AA40" s="1"/>
      <c r="AB40" s="928"/>
      <c r="AD40" s="941"/>
    </row>
    <row r="41" spans="2:34" ht="12.75" customHeight="1">
      <c r="B41" s="596">
        <v>33</v>
      </c>
      <c r="C41" s="238" t="s">
        <v>63</v>
      </c>
      <c r="D41" s="160">
        <v>41.4</v>
      </c>
      <c r="E41" s="182">
        <f>'12-18л. МЕНЮ  '!F104</f>
        <v>41.575000000000003</v>
      </c>
      <c r="F41" s="108">
        <f>'12-18л. МЕНЮ  '!F157</f>
        <v>41.099999999999994</v>
      </c>
      <c r="G41" s="108">
        <f>'12-18л. МЕНЮ  '!F215</f>
        <v>42.448</v>
      </c>
      <c r="H41" s="108">
        <f>'12-18л. МЕНЮ  '!F267</f>
        <v>41.459000000000003</v>
      </c>
      <c r="I41" s="108">
        <f>'12-18л. МЕНЮ  '!F322</f>
        <v>42.191000000000003</v>
      </c>
      <c r="J41" s="108">
        <f>'12-18л. МЕНЮ  '!F377</f>
        <v>39.626999999999995</v>
      </c>
      <c r="K41" s="108">
        <f>'12-18л. МЕНЮ  '!F490</f>
        <v>41.36699999999999</v>
      </c>
      <c r="L41" s="108">
        <f>'12-18л. МЕНЮ  '!F545</f>
        <v>43.635000000000005</v>
      </c>
      <c r="M41" s="108">
        <f>'12-18л. МЕНЮ  '!F599</f>
        <v>38.611999999999995</v>
      </c>
      <c r="N41" s="108">
        <f>'12-18л. МЕНЮ  '!F654</f>
        <v>41.410000000000011</v>
      </c>
      <c r="O41" s="108">
        <f>'12-18л. МЕНЮ  '!F707</f>
        <v>42.671999999999997</v>
      </c>
      <c r="P41" s="1508">
        <f>'12-18л. МЕНЮ  '!F764</f>
        <v>40.703999999999994</v>
      </c>
      <c r="Q41" s="2248">
        <f t="shared" si="2"/>
        <v>496.7999999999999</v>
      </c>
      <c r="R41" s="2564">
        <f t="shared" si="0"/>
        <v>0</v>
      </c>
      <c r="S41" s="2243">
        <f t="shared" si="1"/>
        <v>496.79999999999995</v>
      </c>
      <c r="T41" s="2244">
        <v>92</v>
      </c>
      <c r="U41" s="3"/>
      <c r="Y41" s="927"/>
      <c r="Z41" s="13"/>
      <c r="AA41" s="1"/>
      <c r="AB41" s="928"/>
      <c r="AD41" s="929"/>
    </row>
    <row r="42" spans="2:34" ht="12.75" customHeight="1">
      <c r="B42" s="596">
        <v>34</v>
      </c>
      <c r="C42" s="238" t="s">
        <v>64</v>
      </c>
      <c r="D42" s="160">
        <v>172.35</v>
      </c>
      <c r="E42" s="158">
        <f>'12-18л. МЕНЮ  '!G104</f>
        <v>172.46339999999998</v>
      </c>
      <c r="F42" s="108">
        <f>'12-18л. МЕНЮ  '!G157</f>
        <v>174.083</v>
      </c>
      <c r="G42" s="108">
        <f>'12-18л. МЕНЮ  '!G215</f>
        <v>173.511</v>
      </c>
      <c r="H42" s="108">
        <f>'12-18л. МЕНЮ  '!G267</f>
        <v>171.06160000000003</v>
      </c>
      <c r="I42" s="108">
        <f>'12-18л. МЕНЮ  '!G322</f>
        <v>170.75700000000001</v>
      </c>
      <c r="J42" s="108">
        <f>'12-18л. МЕНЮ  '!G377</f>
        <v>172.22400000000002</v>
      </c>
      <c r="K42" s="108">
        <f>'12-18л. МЕНЮ  '!G490</f>
        <v>168.49200000000002</v>
      </c>
      <c r="L42" s="108">
        <f>'12-18л. МЕНЮ  '!G545</f>
        <v>166.291</v>
      </c>
      <c r="M42" s="108">
        <f>'12-18л. МЕНЮ  '!G599</f>
        <v>178.66200000000001</v>
      </c>
      <c r="N42" s="108">
        <f>'12-18л. МЕНЮ  '!G654</f>
        <v>174.60900000000001</v>
      </c>
      <c r="O42" s="108">
        <f>'12-18л. МЕНЮ  '!G707</f>
        <v>168.77299999999997</v>
      </c>
      <c r="P42" s="1508">
        <f>'12-18л. МЕНЮ  '!G764</f>
        <v>177.27299999999997</v>
      </c>
      <c r="Q42" s="2254">
        <f t="shared" si="2"/>
        <v>2068.1999999999998</v>
      </c>
      <c r="R42" s="2615">
        <f t="shared" si="0"/>
        <v>0</v>
      </c>
      <c r="S42" s="2243">
        <f t="shared" si="1"/>
        <v>2068.1999999999998</v>
      </c>
      <c r="T42" s="2256">
        <v>383</v>
      </c>
      <c r="U42" s="3"/>
      <c r="Y42" s="927"/>
      <c r="Z42" s="13"/>
      <c r="AA42" s="1"/>
      <c r="AB42" s="928"/>
      <c r="AD42" s="929"/>
    </row>
    <row r="43" spans="2:34" ht="15" customHeight="1" thickBot="1">
      <c r="B43" s="642">
        <v>35</v>
      </c>
      <c r="C43" s="643" t="s">
        <v>65</v>
      </c>
      <c r="D43" s="161">
        <v>1224</v>
      </c>
      <c r="E43" s="159">
        <f>'12-18л. МЕНЮ  '!H104</f>
        <v>1219.0220000000002</v>
      </c>
      <c r="F43" s="112">
        <f>'12-18л. МЕНЮ  '!H157</f>
        <v>1226.9159999999999</v>
      </c>
      <c r="G43" s="112">
        <f>'12-18л. МЕНЮ  '!H215</f>
        <v>1226.9752000000001</v>
      </c>
      <c r="H43" s="112">
        <f>'12-18л. МЕНЮ  '!H267</f>
        <v>1224.9068000000002</v>
      </c>
      <c r="I43" s="112">
        <f>'12-18л. МЕНЮ  '!H322</f>
        <v>1224</v>
      </c>
      <c r="J43" s="112">
        <f>'12-18л. МЕНЮ  '!H377</f>
        <v>1222.18</v>
      </c>
      <c r="K43" s="112">
        <f>'12-18л. МЕНЮ  '!H490</f>
        <v>1226.2069999999999</v>
      </c>
      <c r="L43" s="120">
        <f>'12-18л. МЕНЮ  '!H545</f>
        <v>1224.806</v>
      </c>
      <c r="M43" s="112">
        <f>'12-18л. МЕНЮ  '!H599</f>
        <v>1221.328</v>
      </c>
      <c r="N43" s="112">
        <f>'12-18л. МЕНЮ  '!H654</f>
        <v>1229</v>
      </c>
      <c r="O43" s="112">
        <f>'12-18л. МЕНЮ  '!H707</f>
        <v>1224.3370000000002</v>
      </c>
      <c r="P43" s="1509">
        <f>'12-18л. МЕНЮ  '!H764</f>
        <v>1218.318</v>
      </c>
      <c r="Q43" s="2260">
        <f>E43+F43+G43+H43+I43+J43+K43+L43+M43+N43+O43+P43</f>
        <v>14687.995999999999</v>
      </c>
      <c r="R43" s="2613">
        <f t="shared" si="0"/>
        <v>-2.7233115474700753E-5</v>
      </c>
      <c r="S43" s="2246">
        <f t="shared" si="1"/>
        <v>14688</v>
      </c>
      <c r="T43" s="2247">
        <v>2720</v>
      </c>
      <c r="U43" s="3"/>
      <c r="Y43" s="945"/>
      <c r="Z43" s="13"/>
      <c r="AA43" s="946"/>
      <c r="AB43" s="928"/>
      <c r="AD43" s="929"/>
    </row>
    <row r="46" spans="2:34" ht="13.5" customHeight="1"/>
    <row r="47" spans="2:34" ht="12.75" customHeight="1"/>
    <row r="48" spans="2:34" ht="12.75" customHeight="1"/>
    <row r="49" spans="2:16" ht="11.25" customHeight="1"/>
    <row r="50" spans="2:16" ht="11.25" customHeight="1"/>
    <row r="52" spans="2:16">
      <c r="B52" t="s">
        <v>304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>
      <c r="B53" t="s">
        <v>305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</row>
    <row r="54" spans="2:16">
      <c r="B54" t="s">
        <v>306</v>
      </c>
      <c r="O54" s="329"/>
      <c r="P54" s="329"/>
    </row>
    <row r="55" spans="2:16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>
      <c r="B56" s="1" t="s">
        <v>307</v>
      </c>
    </row>
    <row r="57" spans="2:16">
      <c r="B57" t="s">
        <v>308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86" spans="2:28">
      <c r="B86" s="94"/>
      <c r="D86" s="94"/>
    </row>
    <row r="87" spans="2:28">
      <c r="C87" s="13"/>
      <c r="D87" s="22"/>
      <c r="E87" s="14"/>
      <c r="F87" s="14"/>
      <c r="G87" s="14"/>
      <c r="H87" s="14"/>
      <c r="I87" s="14"/>
      <c r="J87" s="14"/>
      <c r="K87" s="14"/>
      <c r="L87" s="14"/>
      <c r="M87" s="13"/>
      <c r="N87" s="13"/>
      <c r="O87" s="9"/>
      <c r="P87" s="9"/>
      <c r="Q87" s="13"/>
      <c r="R87" s="22"/>
      <c r="T87" s="22"/>
      <c r="U87" s="13"/>
    </row>
    <row r="88" spans="2:28">
      <c r="C88" s="13"/>
      <c r="D88" s="9"/>
      <c r="E88" s="14"/>
      <c r="F88" s="14"/>
      <c r="G88" s="14"/>
      <c r="H88" s="14"/>
      <c r="I88" s="14"/>
      <c r="J88" s="14"/>
      <c r="K88" s="14"/>
      <c r="L88" s="14"/>
      <c r="M88" s="13"/>
      <c r="N88" s="13"/>
      <c r="O88" s="9"/>
      <c r="P88" s="9"/>
      <c r="Q88" s="13"/>
      <c r="R88" s="22"/>
      <c r="T88" s="22"/>
      <c r="U88" s="13"/>
    </row>
    <row r="89" spans="2:28">
      <c r="C89" s="22"/>
      <c r="D89" s="22"/>
      <c r="E89" s="14"/>
      <c r="F89" s="14"/>
      <c r="G89" s="14"/>
      <c r="H89" s="14"/>
      <c r="K89" s="14"/>
      <c r="L89" s="48"/>
      <c r="M89" s="13"/>
      <c r="N89" s="13"/>
      <c r="O89" s="9"/>
      <c r="P89" s="9"/>
      <c r="Q89" s="22"/>
      <c r="R89" s="22"/>
      <c r="T89" s="22"/>
      <c r="U89" s="13"/>
      <c r="AB89" s="922"/>
    </row>
    <row r="90" spans="2:28">
      <c r="C90" s="13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/>
      <c r="P90" s="9"/>
      <c r="Q90" s="22"/>
      <c r="R90" s="22"/>
      <c r="T90" s="22"/>
      <c r="U90" s="13"/>
      <c r="Z90" s="150"/>
      <c r="AB90" s="922"/>
    </row>
    <row r="91" spans="2:28">
      <c r="C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9"/>
      <c r="P91" s="9"/>
      <c r="Q91" s="13"/>
      <c r="R91" s="22"/>
      <c r="T91" s="22"/>
      <c r="U91" s="13"/>
      <c r="Z91" s="150"/>
      <c r="AB91" s="923"/>
    </row>
    <row r="92" spans="2:28">
      <c r="C92" s="13"/>
      <c r="D92" s="14"/>
      <c r="E92" s="13"/>
      <c r="F92" s="13"/>
      <c r="G92" s="13"/>
      <c r="H92" s="13"/>
      <c r="I92" s="4"/>
      <c r="J92" s="13"/>
      <c r="K92" s="13"/>
      <c r="L92" s="13"/>
      <c r="M92" s="13"/>
      <c r="N92" s="4"/>
      <c r="O92" s="9"/>
      <c r="P92" s="9"/>
      <c r="Q92" s="14"/>
      <c r="R92" s="22"/>
      <c r="S92" s="13"/>
      <c r="T92" s="22"/>
      <c r="U92" s="13"/>
      <c r="W92" s="345"/>
      <c r="X92" s="22"/>
      <c r="Y92" s="3"/>
      <c r="Z92" s="924"/>
      <c r="AB92" s="923"/>
    </row>
    <row r="93" spans="2:28">
      <c r="B93" s="3"/>
      <c r="C93" s="13"/>
      <c r="D93" s="925"/>
      <c r="E93" s="940"/>
      <c r="F93" s="926"/>
      <c r="G93" s="926"/>
      <c r="H93" s="926"/>
      <c r="I93" s="926"/>
      <c r="J93" s="926"/>
      <c r="K93" s="926"/>
      <c r="L93" s="926"/>
      <c r="M93" s="926"/>
      <c r="N93" s="926"/>
      <c r="O93" s="925"/>
      <c r="P93" s="22"/>
      <c r="Q93" s="22"/>
      <c r="S93" s="64"/>
      <c r="W93" s="927"/>
      <c r="X93" s="13"/>
      <c r="Y93" s="1"/>
      <c r="Z93" s="928"/>
      <c r="AB93" s="929"/>
    </row>
    <row r="94" spans="2:28">
      <c r="B94" s="3"/>
      <c r="C94" s="13"/>
      <c r="D94" s="925"/>
      <c r="E94" s="940"/>
      <c r="F94" s="926"/>
      <c r="G94" s="926"/>
      <c r="H94" s="926"/>
      <c r="I94" s="926"/>
      <c r="J94" s="926"/>
      <c r="K94" s="926"/>
      <c r="L94" s="926"/>
      <c r="M94" s="926"/>
      <c r="N94" s="926"/>
      <c r="O94" s="930"/>
      <c r="P94" s="107"/>
      <c r="Q94" s="22"/>
      <c r="W94" s="927"/>
      <c r="X94" s="13"/>
      <c r="Y94" s="1"/>
      <c r="Z94" s="928"/>
      <c r="AB94" s="929"/>
    </row>
    <row r="95" spans="2:28">
      <c r="B95" s="3"/>
      <c r="C95" s="13"/>
      <c r="D95" s="925"/>
      <c r="E95" s="940"/>
      <c r="F95" s="926"/>
      <c r="G95" s="926"/>
      <c r="H95" s="940"/>
      <c r="I95" s="926"/>
      <c r="J95" s="926"/>
      <c r="K95" s="940"/>
      <c r="L95" s="926"/>
      <c r="M95" s="926"/>
      <c r="N95" s="926"/>
      <c r="O95" s="925"/>
      <c r="P95" s="107"/>
      <c r="Q95" s="22"/>
      <c r="W95" s="927"/>
      <c r="X95" s="13"/>
      <c r="Y95" s="1"/>
      <c r="Z95" s="928"/>
      <c r="AB95" s="931"/>
    </row>
    <row r="96" spans="2:28">
      <c r="B96" s="3"/>
      <c r="C96" s="13"/>
      <c r="D96" s="925"/>
      <c r="E96" s="940"/>
      <c r="F96" s="926"/>
      <c r="G96" s="926"/>
      <c r="H96" s="926"/>
      <c r="I96" s="926"/>
      <c r="J96" s="926"/>
      <c r="K96" s="926"/>
      <c r="L96" s="926"/>
      <c r="M96" s="926"/>
      <c r="N96" s="940"/>
      <c r="O96" s="932"/>
      <c r="P96" s="107"/>
      <c r="Q96" s="22"/>
      <c r="W96" s="927"/>
      <c r="X96" s="13"/>
      <c r="Y96" s="1"/>
      <c r="Z96" s="928"/>
      <c r="AB96" s="929"/>
    </row>
    <row r="97" spans="2:28">
      <c r="B97" s="3"/>
      <c r="C97" s="13"/>
      <c r="D97" s="925"/>
      <c r="E97" s="940"/>
      <c r="F97" s="926"/>
      <c r="G97" s="926"/>
      <c r="H97" s="926"/>
      <c r="I97" s="926"/>
      <c r="J97" s="926"/>
      <c r="K97" s="926"/>
      <c r="L97" s="926"/>
      <c r="M97" s="926"/>
      <c r="N97" s="926"/>
      <c r="O97" s="925"/>
      <c r="P97" s="107"/>
      <c r="Q97" s="22"/>
      <c r="W97" s="927"/>
      <c r="X97" s="13"/>
      <c r="Y97" s="1"/>
      <c r="Z97" s="928"/>
      <c r="AB97" s="933"/>
    </row>
    <row r="98" spans="2:28">
      <c r="B98" s="3"/>
      <c r="C98" s="13"/>
      <c r="D98" s="925"/>
      <c r="E98" s="940"/>
      <c r="F98" s="926"/>
      <c r="G98" s="926"/>
      <c r="H98" s="926"/>
      <c r="I98" s="926"/>
      <c r="J98" s="926"/>
      <c r="K98" s="926"/>
      <c r="L98" s="926"/>
      <c r="M98" s="926"/>
      <c r="N98" s="926"/>
      <c r="O98" s="925"/>
      <c r="P98" s="107"/>
      <c r="Q98" s="22"/>
      <c r="W98" s="927"/>
      <c r="X98" s="13"/>
      <c r="Y98" s="1"/>
      <c r="Z98" s="928"/>
      <c r="AB98" s="931"/>
    </row>
    <row r="99" spans="2:28">
      <c r="B99" s="3"/>
      <c r="C99" s="13"/>
      <c r="D99" s="925"/>
      <c r="E99" s="940"/>
      <c r="F99" s="926"/>
      <c r="G99" s="9"/>
      <c r="H99" s="935"/>
      <c r="I99" s="940"/>
      <c r="J99" s="926"/>
      <c r="K99" s="926"/>
      <c r="L99" s="926"/>
      <c r="M99" s="926"/>
      <c r="N99" s="926"/>
      <c r="O99" s="934"/>
      <c r="P99" s="107"/>
      <c r="Q99" s="22"/>
      <c r="W99" s="927"/>
      <c r="X99" s="13"/>
      <c r="Y99" s="1"/>
      <c r="Z99" s="928"/>
      <c r="AB99" s="933"/>
    </row>
    <row r="100" spans="2:28">
      <c r="B100" s="3"/>
      <c r="C100" s="13"/>
      <c r="D100" s="925"/>
      <c r="E100" s="940"/>
      <c r="F100" s="926"/>
      <c r="G100" s="926"/>
      <c r="H100" s="926"/>
      <c r="I100" s="926"/>
      <c r="J100" s="926"/>
      <c r="K100" s="926"/>
      <c r="L100" s="926"/>
      <c r="M100" s="926"/>
      <c r="N100" s="926"/>
      <c r="O100" s="925"/>
      <c r="P100" s="107"/>
      <c r="Q100" s="22"/>
      <c r="W100" s="927"/>
      <c r="X100" s="13"/>
      <c r="Y100" s="1"/>
      <c r="Z100" s="928"/>
      <c r="AB100" s="929"/>
    </row>
    <row r="101" spans="2:28">
      <c r="B101" s="3"/>
      <c r="C101" s="13"/>
      <c r="D101" s="925"/>
      <c r="E101" s="940"/>
      <c r="F101" s="926"/>
      <c r="G101" s="926"/>
      <c r="H101" s="926"/>
      <c r="I101" s="926"/>
      <c r="J101" s="926"/>
      <c r="K101" s="926"/>
      <c r="L101" s="926"/>
      <c r="M101" s="926"/>
      <c r="N101" s="926"/>
      <c r="O101" s="925"/>
      <c r="P101" s="107"/>
      <c r="Q101" s="22"/>
      <c r="W101" s="927"/>
      <c r="X101" s="13"/>
      <c r="Y101" s="1"/>
      <c r="Z101" s="928"/>
      <c r="AB101" s="929"/>
    </row>
    <row r="102" spans="2:28" ht="12.75" customHeight="1">
      <c r="B102" s="3"/>
      <c r="C102" s="13"/>
      <c r="D102" s="925"/>
      <c r="E102" s="940"/>
      <c r="F102" s="926"/>
      <c r="G102" s="926"/>
      <c r="H102" s="926"/>
      <c r="I102" s="926"/>
      <c r="J102" s="926"/>
      <c r="K102" s="926"/>
      <c r="L102" s="926"/>
      <c r="M102" s="926"/>
      <c r="N102" s="926"/>
      <c r="O102" s="925"/>
      <c r="P102" s="107"/>
      <c r="Q102" s="22"/>
      <c r="W102" s="927"/>
      <c r="X102" s="13"/>
      <c r="Y102" s="1"/>
      <c r="Z102" s="928"/>
      <c r="AB102" s="929"/>
    </row>
    <row r="103" spans="2:28" ht="13.5" customHeight="1">
      <c r="B103" s="3"/>
      <c r="C103" s="13"/>
      <c r="D103" s="925"/>
      <c r="E103" s="940"/>
      <c r="F103" s="926"/>
      <c r="G103" s="926"/>
      <c r="H103" s="926"/>
      <c r="I103" s="926"/>
      <c r="J103" s="926"/>
      <c r="K103" s="926"/>
      <c r="L103" s="926"/>
      <c r="M103" s="926"/>
      <c r="N103" s="926"/>
      <c r="O103" s="925"/>
      <c r="P103" s="107"/>
      <c r="Q103" s="22"/>
      <c r="W103" s="927"/>
      <c r="X103" s="13"/>
      <c r="Y103" s="1"/>
      <c r="Z103" s="928"/>
      <c r="AB103" s="929"/>
    </row>
    <row r="104" spans="2:28" ht="12.75" customHeight="1">
      <c r="B104" s="3"/>
      <c r="C104" s="13"/>
      <c r="D104" s="925"/>
      <c r="E104" s="940"/>
      <c r="F104" s="926"/>
      <c r="G104" s="926"/>
      <c r="H104" s="926"/>
      <c r="I104" s="926"/>
      <c r="J104" s="926"/>
      <c r="K104" s="926"/>
      <c r="L104" s="926"/>
      <c r="M104" s="926"/>
      <c r="N104" s="926"/>
      <c r="O104" s="925"/>
      <c r="P104" s="107"/>
      <c r="Q104" s="22"/>
      <c r="W104" s="927"/>
      <c r="X104" s="13"/>
      <c r="Y104" s="1"/>
      <c r="Z104" s="928"/>
      <c r="AB104" s="929"/>
    </row>
    <row r="105" spans="2:28">
      <c r="B105" s="3"/>
      <c r="C105" s="13"/>
      <c r="D105" s="925"/>
      <c r="E105" s="940"/>
      <c r="F105" s="926"/>
      <c r="G105" s="926"/>
      <c r="H105" s="926"/>
      <c r="I105" s="926"/>
      <c r="J105" s="926"/>
      <c r="K105" s="926"/>
      <c r="L105" s="926"/>
      <c r="M105" s="926"/>
      <c r="N105" s="926"/>
      <c r="O105" s="925"/>
      <c r="P105" s="107"/>
      <c r="Q105" s="22"/>
      <c r="W105" s="927"/>
      <c r="X105" s="13"/>
      <c r="Y105" s="1"/>
      <c r="Z105" s="928"/>
      <c r="AB105" s="929"/>
    </row>
    <row r="106" spans="2:28">
      <c r="B106" s="3"/>
      <c r="C106" s="13"/>
      <c r="D106" s="925"/>
      <c r="E106" s="940"/>
      <c r="F106" s="926"/>
      <c r="G106" s="926"/>
      <c r="H106" s="926"/>
      <c r="I106" s="926"/>
      <c r="J106" s="926"/>
      <c r="K106" s="926"/>
      <c r="L106" s="926"/>
      <c r="M106" s="926"/>
      <c r="N106" s="926"/>
      <c r="O106" s="925"/>
      <c r="P106" s="107"/>
      <c r="Q106" s="22"/>
      <c r="W106" s="927"/>
      <c r="X106" s="13"/>
      <c r="Y106" s="1"/>
      <c r="Z106" s="928"/>
      <c r="AB106" s="929"/>
    </row>
    <row r="107" spans="2:28">
      <c r="B107" s="3"/>
      <c r="C107" s="13"/>
      <c r="D107" s="925"/>
      <c r="E107" s="940"/>
      <c r="F107" s="926"/>
      <c r="G107" s="926"/>
      <c r="H107" s="926"/>
      <c r="I107" s="926"/>
      <c r="J107" s="926"/>
      <c r="K107" s="926"/>
      <c r="L107" s="926"/>
      <c r="M107" s="926"/>
      <c r="N107" s="926"/>
      <c r="O107" s="925"/>
      <c r="P107" s="107"/>
      <c r="Q107" s="22"/>
      <c r="W107" s="927"/>
      <c r="X107" s="13"/>
      <c r="Y107" s="1"/>
      <c r="Z107" s="928"/>
      <c r="AB107" s="931"/>
    </row>
    <row r="108" spans="2:28" ht="12.75" customHeight="1">
      <c r="B108" s="3"/>
      <c r="C108" s="13"/>
      <c r="D108" s="925"/>
      <c r="E108" s="943"/>
      <c r="F108" s="935"/>
      <c r="G108" s="936"/>
      <c r="H108" s="926"/>
      <c r="I108" s="926"/>
      <c r="J108" s="926"/>
      <c r="K108" s="926"/>
      <c r="L108" s="935"/>
      <c r="M108" s="935"/>
      <c r="N108" s="926"/>
      <c r="O108" s="930"/>
      <c r="P108" s="107"/>
      <c r="Q108" s="22"/>
      <c r="W108" s="927"/>
      <c r="X108" s="13"/>
      <c r="Y108" s="1"/>
      <c r="Z108" s="928"/>
      <c r="AB108" s="937"/>
    </row>
    <row r="109" spans="2:28" ht="12.75" customHeight="1">
      <c r="B109" s="3"/>
      <c r="C109" s="13"/>
      <c r="D109" s="925"/>
      <c r="E109" s="943"/>
      <c r="F109" s="935"/>
      <c r="G109" s="936"/>
      <c r="H109" s="926"/>
      <c r="I109" s="926"/>
      <c r="J109" s="926"/>
      <c r="K109" s="926"/>
      <c r="L109" s="935"/>
      <c r="M109" s="935"/>
      <c r="N109" s="926"/>
      <c r="O109" s="925"/>
      <c r="P109" s="107"/>
      <c r="Q109" s="22"/>
      <c r="W109" s="927"/>
      <c r="X109" s="13"/>
      <c r="Y109" s="1"/>
      <c r="Z109" s="928"/>
      <c r="AB109" s="929"/>
    </row>
    <row r="110" spans="2:28" ht="11.25" customHeight="1">
      <c r="B110" s="3"/>
      <c r="C110" s="13"/>
      <c r="D110" s="925"/>
      <c r="E110" s="943"/>
      <c r="F110" s="935"/>
      <c r="G110" s="936"/>
      <c r="H110" s="926"/>
      <c r="I110" s="926"/>
      <c r="J110" s="926"/>
      <c r="K110" s="926"/>
      <c r="L110" s="935"/>
      <c r="M110" s="935"/>
      <c r="N110" s="926"/>
      <c r="O110" s="925"/>
      <c r="P110" s="107"/>
      <c r="Q110" s="22"/>
      <c r="W110" s="927"/>
      <c r="X110" s="13"/>
      <c r="Y110" s="1"/>
      <c r="Z110" s="928"/>
      <c r="AB110" s="929"/>
    </row>
    <row r="111" spans="2:28" ht="12.75" customHeight="1">
      <c r="B111" s="3"/>
      <c r="C111" s="13"/>
      <c r="D111" s="925"/>
      <c r="E111" s="943"/>
      <c r="F111" s="935"/>
      <c r="G111" s="936"/>
      <c r="H111" s="926"/>
      <c r="I111" s="947"/>
      <c r="J111" s="926"/>
      <c r="K111" s="947"/>
      <c r="L111" s="940"/>
      <c r="M111" s="940"/>
      <c r="N111" s="926"/>
      <c r="O111" s="925"/>
      <c r="P111" s="107"/>
      <c r="Q111" s="22"/>
      <c r="W111" s="927"/>
      <c r="X111" s="13"/>
      <c r="Y111" s="1"/>
      <c r="Z111" s="928"/>
      <c r="AB111" s="933"/>
    </row>
    <row r="112" spans="2:28" ht="13.5" customHeight="1">
      <c r="B112" s="3"/>
      <c r="C112" s="13"/>
      <c r="D112" s="925"/>
      <c r="E112" s="943"/>
      <c r="F112" s="940"/>
      <c r="G112" s="936"/>
      <c r="H112" s="926"/>
      <c r="I112" s="926"/>
      <c r="J112" s="926"/>
      <c r="K112" s="926"/>
      <c r="L112" s="940"/>
      <c r="M112" s="940"/>
      <c r="N112" s="926"/>
      <c r="O112" s="925"/>
      <c r="P112" s="107"/>
      <c r="Q112" s="22"/>
      <c r="W112" s="927"/>
      <c r="X112" s="13"/>
      <c r="Y112" s="1"/>
      <c r="Z112" s="928"/>
      <c r="AB112" s="929"/>
    </row>
    <row r="113" spans="2:28" ht="14.25" customHeight="1">
      <c r="B113" s="3"/>
      <c r="C113" s="13"/>
      <c r="D113" s="925"/>
      <c r="E113" s="943"/>
      <c r="F113" s="935"/>
      <c r="G113" s="936"/>
      <c r="H113" s="926"/>
      <c r="I113" s="926"/>
      <c r="J113" s="926"/>
      <c r="K113" s="926"/>
      <c r="L113" s="940"/>
      <c r="M113" s="935"/>
      <c r="N113" s="926"/>
      <c r="O113" s="925"/>
      <c r="P113" s="107"/>
      <c r="Q113" s="22"/>
      <c r="W113" s="927"/>
      <c r="X113" s="13"/>
      <c r="Y113" s="1"/>
      <c r="Z113" s="928"/>
      <c r="AB113" s="929"/>
    </row>
    <row r="114" spans="2:28">
      <c r="B114" s="3"/>
      <c r="C114" s="13"/>
      <c r="D114" s="925"/>
      <c r="E114" s="943"/>
      <c r="F114" s="940"/>
      <c r="G114" s="936"/>
      <c r="H114" s="926"/>
      <c r="I114" s="926"/>
      <c r="J114" s="926"/>
      <c r="K114" s="926"/>
      <c r="L114" s="936"/>
      <c r="M114" s="936"/>
      <c r="N114" s="9"/>
      <c r="O114" s="925"/>
      <c r="P114" s="107"/>
      <c r="Q114" s="22"/>
      <c r="W114" s="927"/>
      <c r="X114" s="13"/>
      <c r="Y114" s="1"/>
      <c r="Z114" s="928"/>
      <c r="AB114" s="929"/>
    </row>
    <row r="115" spans="2:28" ht="14.25" customHeight="1">
      <c r="B115" s="3"/>
      <c r="C115" s="13"/>
      <c r="D115" s="925"/>
      <c r="E115" s="943"/>
      <c r="F115" s="940"/>
      <c r="G115" s="940"/>
      <c r="H115" s="926"/>
      <c r="I115" s="926"/>
      <c r="J115" s="926"/>
      <c r="K115" s="935"/>
      <c r="L115" s="947"/>
      <c r="M115" s="940"/>
      <c r="N115" s="936"/>
      <c r="O115" s="925"/>
      <c r="P115" s="107"/>
      <c r="Q115" s="22"/>
      <c r="W115" s="927"/>
      <c r="X115" s="13"/>
      <c r="Y115" s="1"/>
      <c r="Z115" s="928"/>
      <c r="AB115" s="929"/>
    </row>
    <row r="116" spans="2:28">
      <c r="B116" s="3"/>
      <c r="C116" s="13"/>
      <c r="D116" s="925"/>
      <c r="E116" s="943"/>
      <c r="F116" s="935"/>
      <c r="G116" s="936"/>
      <c r="H116" s="926"/>
      <c r="I116" s="926"/>
      <c r="J116" s="926"/>
      <c r="K116" s="926"/>
      <c r="L116" s="935"/>
      <c r="M116" s="935"/>
      <c r="N116" s="926"/>
      <c r="O116" s="925"/>
      <c r="P116" s="107"/>
      <c r="Q116" s="22"/>
      <c r="W116" s="927"/>
      <c r="X116" s="13"/>
      <c r="Y116" s="1"/>
      <c r="Z116" s="928"/>
      <c r="AB116" s="929"/>
    </row>
    <row r="117" spans="2:28" ht="11.25" customHeight="1">
      <c r="B117" s="3"/>
      <c r="C117" s="13"/>
      <c r="D117" s="925"/>
      <c r="E117" s="943"/>
      <c r="F117" s="940"/>
      <c r="G117" s="936"/>
      <c r="H117" s="926"/>
      <c r="I117" s="926"/>
      <c r="J117" s="926"/>
      <c r="K117" s="926"/>
      <c r="L117" s="936"/>
      <c r="M117" s="936"/>
      <c r="N117" s="926"/>
      <c r="O117" s="925"/>
      <c r="P117" s="938"/>
      <c r="Q117" s="22"/>
      <c r="W117" s="927"/>
      <c r="X117" s="13"/>
      <c r="Y117" s="1"/>
      <c r="Z117" s="928"/>
      <c r="AB117" s="939"/>
    </row>
    <row r="118" spans="2:28">
      <c r="B118" s="3"/>
      <c r="C118" s="13"/>
      <c r="D118" s="925"/>
      <c r="E118" s="943"/>
      <c r="F118" s="935"/>
      <c r="G118" s="936"/>
      <c r="H118" s="926"/>
      <c r="I118" s="926"/>
      <c r="J118" s="926"/>
      <c r="K118" s="926"/>
      <c r="L118" s="936"/>
      <c r="M118" s="936"/>
      <c r="N118" s="926"/>
      <c r="O118" s="925"/>
      <c r="P118" s="107"/>
      <c r="Q118" s="22"/>
      <c r="W118" s="927"/>
      <c r="X118" s="13"/>
      <c r="Y118" s="1"/>
      <c r="Z118" s="928"/>
      <c r="AB118" s="929"/>
    </row>
    <row r="119" spans="2:28">
      <c r="B119" s="3"/>
      <c r="C119" s="13"/>
      <c r="D119" s="925"/>
      <c r="E119" s="943"/>
      <c r="F119" s="936"/>
      <c r="G119" s="940"/>
      <c r="H119" s="926"/>
      <c r="I119" s="926"/>
      <c r="J119" s="926"/>
      <c r="K119" s="926"/>
      <c r="L119" s="947"/>
      <c r="M119" s="940"/>
      <c r="N119" s="926"/>
      <c r="O119" s="925"/>
      <c r="P119" s="938"/>
      <c r="Q119" s="22"/>
      <c r="W119" s="927"/>
      <c r="X119" s="13"/>
      <c r="Y119" s="1"/>
      <c r="Z119" s="928"/>
      <c r="AB119" s="939"/>
    </row>
    <row r="120" spans="2:28" hidden="1">
      <c r="B120" s="3"/>
      <c r="C120" s="13"/>
      <c r="D120" s="925"/>
      <c r="E120" s="943"/>
      <c r="F120" s="940"/>
      <c r="G120" s="936"/>
      <c r="H120" s="926"/>
      <c r="I120" s="926"/>
      <c r="J120" s="926"/>
      <c r="K120" s="926"/>
      <c r="L120" s="935"/>
      <c r="M120" s="935"/>
      <c r="N120" s="926"/>
      <c r="O120" s="925"/>
      <c r="P120" s="107"/>
      <c r="Q120" s="22"/>
      <c r="W120" s="927"/>
      <c r="X120" s="13"/>
      <c r="Y120" s="1"/>
      <c r="Z120" s="928"/>
      <c r="AB120" s="933"/>
    </row>
    <row r="121" spans="2:28">
      <c r="B121" s="3"/>
      <c r="C121" s="4"/>
      <c r="D121" s="925"/>
      <c r="E121" s="943"/>
      <c r="F121" s="936"/>
      <c r="G121" s="936"/>
      <c r="H121" s="926"/>
      <c r="I121" s="926"/>
      <c r="J121" s="926"/>
      <c r="K121" s="926"/>
      <c r="L121" s="940"/>
      <c r="M121" s="940"/>
      <c r="N121" s="926"/>
      <c r="O121" s="925"/>
      <c r="P121" s="107"/>
      <c r="Q121" s="22"/>
      <c r="W121" s="927"/>
      <c r="X121" s="13"/>
      <c r="Y121" s="1"/>
      <c r="Z121" s="928"/>
      <c r="AB121" s="929"/>
    </row>
    <row r="122" spans="2:28">
      <c r="B122" s="3"/>
      <c r="C122" s="13"/>
      <c r="D122" s="925"/>
      <c r="E122" s="943"/>
      <c r="F122" s="935"/>
      <c r="G122" s="936"/>
      <c r="H122" s="947"/>
      <c r="I122" s="926"/>
      <c r="J122" s="926"/>
      <c r="K122" s="926"/>
      <c r="L122" s="935"/>
      <c r="M122" s="936"/>
      <c r="N122" s="926"/>
      <c r="O122" s="930"/>
      <c r="P122" s="938"/>
      <c r="Q122" s="22"/>
      <c r="W122" s="927"/>
      <c r="X122" s="13"/>
      <c r="Y122" s="1"/>
      <c r="Z122" s="928"/>
      <c r="AB122" s="939"/>
    </row>
    <row r="123" spans="2:28">
      <c r="B123" s="3"/>
      <c r="C123" s="13"/>
      <c r="D123" s="925"/>
      <c r="E123" s="943"/>
      <c r="F123" s="947"/>
      <c r="G123" s="947"/>
      <c r="H123" s="926"/>
      <c r="I123" s="926"/>
      <c r="J123" s="926"/>
      <c r="K123" s="926"/>
      <c r="L123" s="948"/>
      <c r="M123" s="947"/>
      <c r="N123" s="926"/>
      <c r="O123" s="930"/>
      <c r="P123" s="107"/>
      <c r="Q123" s="22"/>
      <c r="W123" s="927"/>
      <c r="X123" s="13"/>
      <c r="Y123" s="1"/>
      <c r="Z123" s="928"/>
      <c r="AB123" s="942"/>
    </row>
    <row r="124" spans="2:28">
      <c r="B124" s="3"/>
      <c r="C124" s="13"/>
      <c r="D124" s="925"/>
      <c r="E124" s="943"/>
      <c r="F124" s="151"/>
      <c r="G124" s="151"/>
      <c r="H124" s="151"/>
      <c r="I124" s="151"/>
      <c r="J124" s="151"/>
      <c r="K124" s="151"/>
      <c r="L124" s="151"/>
      <c r="M124" s="151"/>
      <c r="N124" s="151"/>
      <c r="O124" s="930"/>
      <c r="P124" s="107"/>
      <c r="Q124" s="22"/>
      <c r="W124" s="927"/>
      <c r="X124" s="13"/>
      <c r="Y124" s="1"/>
      <c r="Z124" s="928"/>
      <c r="AB124" s="929"/>
    </row>
    <row r="125" spans="2:28" ht="11.25" customHeight="1">
      <c r="B125" s="3"/>
      <c r="C125" s="13"/>
      <c r="D125" s="925"/>
      <c r="E125" s="943"/>
      <c r="F125" s="151"/>
      <c r="G125" s="151"/>
      <c r="H125" s="151"/>
      <c r="I125" s="151"/>
      <c r="J125" s="151"/>
      <c r="K125" s="151"/>
      <c r="L125" s="151"/>
      <c r="M125" s="151"/>
      <c r="N125" s="151"/>
      <c r="O125" s="930"/>
      <c r="P125" s="107"/>
      <c r="Q125" s="22"/>
      <c r="W125" s="927"/>
      <c r="X125" s="13"/>
      <c r="Y125" s="1"/>
      <c r="Z125" s="928"/>
      <c r="AB125" s="929"/>
    </row>
    <row r="126" spans="2:28" ht="12.75" customHeight="1">
      <c r="B126" s="3"/>
      <c r="C126" s="13"/>
      <c r="D126" s="925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930"/>
      <c r="P126" s="107"/>
      <c r="Q126" s="22"/>
      <c r="W126" s="927"/>
      <c r="X126" s="13"/>
      <c r="Y126" s="1"/>
      <c r="Z126" s="928"/>
      <c r="AB126" s="929"/>
    </row>
    <row r="127" spans="2:28" ht="11.25" customHeight="1">
      <c r="B127" s="3"/>
      <c r="C127" s="13"/>
      <c r="D127" s="925"/>
      <c r="E127" s="151"/>
      <c r="F127" s="151"/>
      <c r="G127" s="151"/>
      <c r="H127" s="151"/>
      <c r="I127" s="151"/>
      <c r="J127" s="151"/>
      <c r="K127" s="944"/>
      <c r="L127" s="151"/>
      <c r="M127" s="151"/>
      <c r="N127" s="151"/>
      <c r="O127" s="932"/>
      <c r="P127" s="107"/>
      <c r="Q127" s="22"/>
      <c r="W127" s="945"/>
      <c r="X127" s="13"/>
      <c r="Y127" s="946"/>
      <c r="Z127" s="928"/>
      <c r="AB127" s="929"/>
    </row>
    <row r="128" spans="2:28">
      <c r="B128" s="94"/>
      <c r="D128" s="94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U129" s="13"/>
    </row>
    <row r="130" spans="2:28">
      <c r="C130" s="13"/>
      <c r="D130" s="9"/>
      <c r="E130" s="850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U130" s="13"/>
    </row>
    <row r="131" spans="2:28">
      <c r="C131" s="22"/>
      <c r="D131" s="22"/>
      <c r="E131" s="14"/>
      <c r="F131" s="14"/>
      <c r="G131" s="14"/>
      <c r="H131" s="14"/>
      <c r="K131" s="14"/>
      <c r="L131" s="48"/>
      <c r="M131" s="13"/>
      <c r="N131" s="13"/>
      <c r="O131" s="9"/>
      <c r="P131" s="9"/>
      <c r="Q131" s="22"/>
      <c r="R131" s="22"/>
      <c r="T131" s="22"/>
      <c r="U131" s="13"/>
      <c r="AB131" s="92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U132" s="13"/>
      <c r="Z132" s="150"/>
      <c r="AB132" s="92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U133" s="13"/>
      <c r="Z133" s="150"/>
      <c r="AB133" s="92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U134" s="13"/>
      <c r="W134" s="345"/>
      <c r="X134" s="22"/>
      <c r="Y134" s="3"/>
      <c r="Z134" s="924"/>
      <c r="AB134" s="923"/>
    </row>
    <row r="135" spans="2:28">
      <c r="B135" s="3"/>
      <c r="C135" s="13"/>
      <c r="D135" s="925"/>
      <c r="E135" s="926"/>
      <c r="F135" s="926"/>
      <c r="G135" s="926"/>
      <c r="H135" s="926"/>
      <c r="I135" s="926"/>
      <c r="J135" s="926"/>
      <c r="K135" s="926"/>
      <c r="L135" s="926"/>
      <c r="M135" s="926"/>
      <c r="N135" s="926"/>
      <c r="O135" s="925"/>
      <c r="P135" s="22"/>
      <c r="Q135" s="22"/>
      <c r="S135" s="64"/>
      <c r="W135" s="927"/>
      <c r="X135" s="13"/>
      <c r="Y135" s="1"/>
      <c r="Z135" s="928"/>
      <c r="AB135" s="929"/>
    </row>
    <row r="136" spans="2:28">
      <c r="B136" s="3"/>
      <c r="C136" s="13"/>
      <c r="D136" s="925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30"/>
      <c r="P136" s="107"/>
      <c r="Q136" s="22"/>
      <c r="W136" s="927"/>
      <c r="X136" s="13"/>
      <c r="Y136" s="1"/>
      <c r="Z136" s="928"/>
      <c r="AB136" s="929"/>
    </row>
    <row r="137" spans="2:28">
      <c r="B137" s="3"/>
      <c r="C137" s="13"/>
      <c r="D137" s="925"/>
      <c r="E137" s="926"/>
      <c r="F137" s="926"/>
      <c r="G137" s="926"/>
      <c r="H137" s="940"/>
      <c r="I137" s="926"/>
      <c r="J137" s="926"/>
      <c r="K137" s="940"/>
      <c r="L137" s="926"/>
      <c r="M137" s="926"/>
      <c r="N137" s="926"/>
      <c r="O137" s="925"/>
      <c r="P137" s="107"/>
      <c r="Q137" s="22"/>
      <c r="W137" s="927"/>
      <c r="X137" s="13"/>
      <c r="Y137" s="1"/>
      <c r="Z137" s="928"/>
      <c r="AB137" s="931"/>
    </row>
    <row r="138" spans="2:28">
      <c r="B138" s="3"/>
      <c r="C138" s="13"/>
      <c r="D138" s="925"/>
      <c r="E138" s="926"/>
      <c r="F138" s="926"/>
      <c r="G138" s="926"/>
      <c r="H138" s="926"/>
      <c r="I138" s="926"/>
      <c r="J138" s="926"/>
      <c r="K138" s="926"/>
      <c r="L138" s="926"/>
      <c r="M138" s="926"/>
      <c r="N138" s="940"/>
      <c r="O138" s="932"/>
      <c r="P138" s="107"/>
      <c r="Q138" s="22"/>
      <c r="W138" s="927"/>
      <c r="X138" s="13"/>
      <c r="Y138" s="1"/>
      <c r="Z138" s="928"/>
      <c r="AB138" s="929"/>
    </row>
    <row r="139" spans="2:28">
      <c r="B139" s="3"/>
      <c r="C139" s="13"/>
      <c r="D139" s="925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5"/>
      <c r="P139" s="107"/>
      <c r="Q139" s="22"/>
      <c r="W139" s="927"/>
      <c r="X139" s="13"/>
      <c r="Y139" s="1"/>
      <c r="Z139" s="928"/>
      <c r="AB139" s="933"/>
    </row>
    <row r="140" spans="2:28">
      <c r="B140" s="3"/>
      <c r="C140" s="13"/>
      <c r="D140" s="925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5"/>
      <c r="P140" s="107"/>
      <c r="Q140" s="22"/>
      <c r="W140" s="927"/>
      <c r="X140" s="13"/>
      <c r="Y140" s="1"/>
      <c r="Z140" s="928"/>
      <c r="AB140" s="931"/>
    </row>
    <row r="141" spans="2:28">
      <c r="B141" s="3"/>
      <c r="C141" s="13"/>
      <c r="D141" s="925"/>
      <c r="E141" s="926"/>
      <c r="F141" s="926"/>
      <c r="G141" s="9"/>
      <c r="H141" s="935"/>
      <c r="I141" s="940"/>
      <c r="J141" s="926"/>
      <c r="K141" s="926"/>
      <c r="L141" s="926"/>
      <c r="M141" s="926"/>
      <c r="N141" s="926"/>
      <c r="O141" s="934"/>
      <c r="P141" s="107"/>
      <c r="Q141" s="22"/>
      <c r="W141" s="927"/>
      <c r="X141" s="13"/>
      <c r="Y141" s="1"/>
      <c r="Z141" s="928"/>
      <c r="AB141" s="933"/>
    </row>
    <row r="142" spans="2:28">
      <c r="B142" s="3"/>
      <c r="C142" s="13"/>
      <c r="D142" s="925"/>
      <c r="E142" s="689"/>
      <c r="F142" s="926"/>
      <c r="G142" s="926"/>
      <c r="H142" s="926"/>
      <c r="I142" s="926"/>
      <c r="J142" s="926"/>
      <c r="K142" s="926"/>
      <c r="L142" s="926"/>
      <c r="M142" s="926"/>
      <c r="N142" s="926"/>
      <c r="O142" s="925"/>
      <c r="P142" s="107"/>
      <c r="Q142" s="22"/>
      <c r="W142" s="927"/>
      <c r="X142" s="13"/>
      <c r="Y142" s="1"/>
      <c r="Z142" s="928"/>
      <c r="AB142" s="929"/>
    </row>
    <row r="143" spans="2:28">
      <c r="B143" s="3"/>
      <c r="C143" s="13"/>
      <c r="D143" s="925"/>
      <c r="E143" s="689"/>
      <c r="F143" s="926"/>
      <c r="G143" s="926"/>
      <c r="H143" s="926"/>
      <c r="I143" s="926"/>
      <c r="J143" s="926"/>
      <c r="K143" s="926"/>
      <c r="L143" s="926"/>
      <c r="M143" s="926"/>
      <c r="N143" s="926"/>
      <c r="O143" s="925"/>
      <c r="P143" s="107"/>
      <c r="Q143" s="22"/>
      <c r="W143" s="927"/>
      <c r="X143" s="13"/>
      <c r="Y143" s="1"/>
      <c r="Z143" s="928"/>
      <c r="AB143" s="929"/>
    </row>
    <row r="144" spans="2:28">
      <c r="B144" s="3"/>
      <c r="C144" s="13"/>
      <c r="D144" s="925"/>
      <c r="E144" s="689"/>
      <c r="F144" s="926"/>
      <c r="G144" s="926"/>
      <c r="H144" s="926"/>
      <c r="I144" s="926"/>
      <c r="J144" s="926"/>
      <c r="K144" s="926"/>
      <c r="L144" s="926"/>
      <c r="M144" s="926"/>
      <c r="N144" s="926"/>
      <c r="O144" s="925"/>
      <c r="P144" s="107"/>
      <c r="Q144" s="22"/>
      <c r="W144" s="927"/>
      <c r="X144" s="13"/>
      <c r="Y144" s="1"/>
      <c r="Z144" s="928"/>
      <c r="AB144" s="929"/>
    </row>
    <row r="145" spans="2:28">
      <c r="B145" s="3"/>
      <c r="C145" s="13"/>
      <c r="D145" s="925"/>
      <c r="E145" s="689"/>
      <c r="F145" s="926"/>
      <c r="G145" s="926"/>
      <c r="H145" s="926"/>
      <c r="I145" s="926"/>
      <c r="J145" s="926"/>
      <c r="K145" s="926"/>
      <c r="L145" s="926"/>
      <c r="M145" s="926"/>
      <c r="N145" s="926"/>
      <c r="O145" s="925"/>
      <c r="P145" s="107"/>
      <c r="Q145" s="22"/>
      <c r="W145" s="927"/>
      <c r="X145" s="13"/>
      <c r="Y145" s="1"/>
      <c r="Z145" s="928"/>
      <c r="AB145" s="929"/>
    </row>
    <row r="146" spans="2:28">
      <c r="B146" s="3"/>
      <c r="C146" s="13"/>
      <c r="D146" s="925"/>
      <c r="E146" s="689"/>
      <c r="F146" s="926"/>
      <c r="G146" s="926"/>
      <c r="H146" s="926"/>
      <c r="I146" s="926"/>
      <c r="J146" s="926"/>
      <c r="K146" s="926"/>
      <c r="L146" s="926"/>
      <c r="M146" s="926"/>
      <c r="N146" s="926"/>
      <c r="O146" s="925"/>
      <c r="P146" s="107"/>
      <c r="Q146" s="22"/>
      <c r="W146" s="927"/>
      <c r="X146" s="13"/>
      <c r="Y146" s="1"/>
      <c r="Z146" s="928"/>
      <c r="AB146" s="929"/>
    </row>
    <row r="147" spans="2:28">
      <c r="B147" s="3"/>
      <c r="C147" s="13"/>
      <c r="D147" s="925"/>
      <c r="E147" s="689"/>
      <c r="F147" s="926"/>
      <c r="G147" s="926"/>
      <c r="H147" s="926"/>
      <c r="I147" s="926"/>
      <c r="J147" s="926"/>
      <c r="K147" s="926"/>
      <c r="L147" s="926"/>
      <c r="M147" s="926"/>
      <c r="N147" s="926"/>
      <c r="O147" s="925"/>
      <c r="P147" s="107"/>
      <c r="Q147" s="22"/>
      <c r="W147" s="927"/>
      <c r="X147" s="13"/>
      <c r="Y147" s="1"/>
      <c r="Z147" s="928"/>
      <c r="AB147" s="929"/>
    </row>
    <row r="148" spans="2:28" ht="13.5" customHeight="1">
      <c r="B148" s="3"/>
      <c r="C148" s="13"/>
      <c r="D148" s="925"/>
      <c r="E148" s="689"/>
      <c r="F148" s="926"/>
      <c r="G148" s="926"/>
      <c r="H148" s="926"/>
      <c r="I148" s="926"/>
      <c r="J148" s="926"/>
      <c r="K148" s="926"/>
      <c r="L148" s="926"/>
      <c r="M148" s="926"/>
      <c r="N148" s="926"/>
      <c r="O148" s="925"/>
      <c r="P148" s="107"/>
      <c r="Q148" s="22"/>
      <c r="W148" s="927"/>
      <c r="X148" s="13"/>
      <c r="Y148" s="1"/>
      <c r="Z148" s="928"/>
      <c r="AB148" s="929"/>
    </row>
    <row r="149" spans="2:28">
      <c r="B149" s="3"/>
      <c r="C149" s="13"/>
      <c r="D149" s="925"/>
      <c r="E149" s="689"/>
      <c r="F149" s="926"/>
      <c r="G149" s="926"/>
      <c r="H149" s="926"/>
      <c r="I149" s="926"/>
      <c r="J149" s="926"/>
      <c r="K149" s="926"/>
      <c r="L149" s="926"/>
      <c r="M149" s="926"/>
      <c r="N149" s="926"/>
      <c r="O149" s="925"/>
      <c r="P149" s="107"/>
      <c r="Q149" s="22"/>
      <c r="W149" s="927"/>
      <c r="X149" s="13"/>
      <c r="Y149" s="1"/>
      <c r="Z149" s="928"/>
      <c r="AB149" s="931"/>
    </row>
    <row r="150" spans="2:28" ht="12.75" customHeight="1">
      <c r="B150" s="3"/>
      <c r="C150" s="13"/>
      <c r="D150" s="925"/>
      <c r="E150" s="689"/>
      <c r="F150" s="935"/>
      <c r="G150" s="936"/>
      <c r="H150" s="926"/>
      <c r="I150" s="926"/>
      <c r="J150" s="926"/>
      <c r="K150" s="926"/>
      <c r="L150" s="935"/>
      <c r="M150" s="935"/>
      <c r="N150" s="926"/>
      <c r="O150" s="930"/>
      <c r="P150" s="107"/>
      <c r="Q150" s="22"/>
      <c r="W150" s="927"/>
      <c r="X150" s="13"/>
      <c r="Y150" s="1"/>
      <c r="Z150" s="928"/>
      <c r="AB150" s="937"/>
    </row>
    <row r="151" spans="2:28">
      <c r="B151" s="3"/>
      <c r="C151" s="13"/>
      <c r="D151" s="925"/>
      <c r="E151" s="689"/>
      <c r="F151" s="935"/>
      <c r="G151" s="936"/>
      <c r="H151" s="926"/>
      <c r="I151" s="926"/>
      <c r="J151" s="926"/>
      <c r="K151" s="926"/>
      <c r="L151" s="935"/>
      <c r="M151" s="935"/>
      <c r="N151" s="926"/>
      <c r="O151" s="925"/>
      <c r="P151" s="107"/>
      <c r="Q151" s="22"/>
      <c r="W151" s="927"/>
      <c r="X151" s="13"/>
      <c r="Y151" s="1"/>
      <c r="Z151" s="928"/>
      <c r="AB151" s="929"/>
    </row>
    <row r="152" spans="2:28" ht="12.75" customHeight="1">
      <c r="B152" s="3"/>
      <c r="C152" s="13"/>
      <c r="D152" s="925"/>
      <c r="E152" s="689"/>
      <c r="F152" s="935"/>
      <c r="G152" s="936"/>
      <c r="H152" s="926"/>
      <c r="I152" s="926"/>
      <c r="J152" s="926"/>
      <c r="K152" s="926"/>
      <c r="L152" s="935"/>
      <c r="M152" s="935"/>
      <c r="N152" s="926"/>
      <c r="O152" s="925"/>
      <c r="P152" s="107"/>
      <c r="Q152" s="22"/>
      <c r="W152" s="927"/>
      <c r="X152" s="13"/>
      <c r="Y152" s="1"/>
      <c r="Z152" s="928"/>
      <c r="AB152" s="929"/>
    </row>
    <row r="153" spans="2:28">
      <c r="B153" s="3"/>
      <c r="C153" s="13"/>
      <c r="D153" s="925"/>
      <c r="E153" s="949"/>
      <c r="F153" s="935"/>
      <c r="G153" s="936"/>
      <c r="H153" s="926"/>
      <c r="I153" s="947"/>
      <c r="J153" s="926"/>
      <c r="K153" s="947"/>
      <c r="L153" s="940"/>
      <c r="M153" s="940"/>
      <c r="N153" s="926"/>
      <c r="O153" s="925"/>
      <c r="P153" s="107"/>
      <c r="Q153" s="22"/>
      <c r="W153" s="927"/>
      <c r="X153" s="13"/>
      <c r="Y153" s="1"/>
      <c r="Z153" s="928"/>
      <c r="AB153" s="933"/>
    </row>
    <row r="154" spans="2:28">
      <c r="B154" s="3"/>
      <c r="C154" s="13"/>
      <c r="D154" s="925"/>
      <c r="E154" s="689"/>
      <c r="F154" s="940"/>
      <c r="G154" s="936"/>
      <c r="H154" s="926"/>
      <c r="I154" s="926"/>
      <c r="J154" s="926"/>
      <c r="K154" s="926"/>
      <c r="L154" s="940"/>
      <c r="M154" s="940"/>
      <c r="N154" s="926"/>
      <c r="O154" s="925"/>
      <c r="P154" s="107"/>
      <c r="Q154" s="22"/>
      <c r="W154" s="927"/>
      <c r="X154" s="13"/>
      <c r="Y154" s="1"/>
      <c r="Z154" s="928"/>
      <c r="AB154" s="929"/>
    </row>
    <row r="155" spans="2:28">
      <c r="B155" s="3"/>
      <c r="C155" s="13"/>
      <c r="D155" s="925"/>
      <c r="E155" s="689"/>
      <c r="F155" s="935"/>
      <c r="G155" s="936"/>
      <c r="H155" s="926"/>
      <c r="I155" s="926"/>
      <c r="J155" s="926"/>
      <c r="K155" s="926"/>
      <c r="L155" s="940"/>
      <c r="M155" s="935"/>
      <c r="N155" s="926"/>
      <c r="O155" s="925"/>
      <c r="P155" s="107"/>
      <c r="Q155" s="22"/>
      <c r="W155" s="927"/>
      <c r="X155" s="13"/>
      <c r="Y155" s="1"/>
      <c r="Z155" s="928"/>
      <c r="AB155" s="929"/>
    </row>
    <row r="156" spans="2:28">
      <c r="B156" s="3"/>
      <c r="C156" s="13"/>
      <c r="D156" s="925"/>
      <c r="E156" s="689"/>
      <c r="F156" s="940"/>
      <c r="G156" s="936"/>
      <c r="H156" s="926"/>
      <c r="I156" s="926"/>
      <c r="J156" s="926"/>
      <c r="K156" s="926"/>
      <c r="L156" s="936"/>
      <c r="M156" s="936"/>
      <c r="N156" s="9"/>
      <c r="O156" s="925"/>
      <c r="P156" s="107"/>
      <c r="Q156" s="22"/>
      <c r="W156" s="927"/>
      <c r="X156" s="13"/>
      <c r="Y156" s="1"/>
      <c r="Z156" s="928"/>
      <c r="AB156" s="929"/>
    </row>
    <row r="157" spans="2:28">
      <c r="B157" s="3"/>
      <c r="C157" s="13"/>
      <c r="D157" s="925"/>
      <c r="E157" s="689"/>
      <c r="F157" s="940"/>
      <c r="G157" s="940"/>
      <c r="H157" s="926"/>
      <c r="I157" s="926"/>
      <c r="J157" s="926"/>
      <c r="K157" s="935"/>
      <c r="L157" s="947"/>
      <c r="M157" s="940"/>
      <c r="N157" s="936"/>
      <c r="O157" s="925"/>
      <c r="P157" s="107"/>
      <c r="Q157" s="22"/>
      <c r="W157" s="927"/>
      <c r="X157" s="13"/>
      <c r="Y157" s="1"/>
      <c r="Z157" s="928"/>
      <c r="AB157" s="929"/>
    </row>
    <row r="158" spans="2:28" ht="10.5" customHeight="1">
      <c r="B158" s="3"/>
      <c r="C158" s="13"/>
      <c r="D158" s="925"/>
      <c r="E158" s="689"/>
      <c r="F158" s="935"/>
      <c r="G158" s="936"/>
      <c r="H158" s="926"/>
      <c r="I158" s="926"/>
      <c r="J158" s="926"/>
      <c r="K158" s="926"/>
      <c r="L158" s="935"/>
      <c r="M158" s="935"/>
      <c r="N158" s="926"/>
      <c r="O158" s="925"/>
      <c r="P158" s="107"/>
      <c r="Q158" s="22"/>
      <c r="W158" s="927"/>
      <c r="X158" s="13"/>
      <c r="Y158" s="1"/>
      <c r="Z158" s="928"/>
      <c r="AB158" s="929"/>
    </row>
    <row r="159" spans="2:28" ht="12.75" customHeight="1">
      <c r="B159" s="3"/>
      <c r="C159" s="13"/>
      <c r="D159" s="925"/>
      <c r="E159" s="689"/>
      <c r="F159" s="940"/>
      <c r="G159" s="936"/>
      <c r="H159" s="926"/>
      <c r="I159" s="926"/>
      <c r="J159" s="926"/>
      <c r="K159" s="926"/>
      <c r="L159" s="936"/>
      <c r="M159" s="936"/>
      <c r="N159" s="926"/>
      <c r="O159" s="925"/>
      <c r="P159" s="938"/>
      <c r="Q159" s="22"/>
      <c r="W159" s="927"/>
      <c r="X159" s="13"/>
      <c r="Y159" s="1"/>
      <c r="Z159" s="928"/>
      <c r="AB159" s="939"/>
    </row>
    <row r="160" spans="2:28">
      <c r="B160" s="3"/>
      <c r="C160" s="13"/>
      <c r="D160" s="925"/>
      <c r="E160" s="689"/>
      <c r="F160" s="935"/>
      <c r="G160" s="936"/>
      <c r="H160" s="926"/>
      <c r="I160" s="926"/>
      <c r="J160" s="926"/>
      <c r="K160" s="926"/>
      <c r="L160" s="936"/>
      <c r="M160" s="936"/>
      <c r="N160" s="926"/>
      <c r="O160" s="925"/>
      <c r="P160" s="107"/>
      <c r="Q160" s="22"/>
      <c r="W160" s="927"/>
      <c r="X160" s="13"/>
      <c r="Y160" s="1"/>
      <c r="Z160" s="928"/>
      <c r="AB160" s="929"/>
    </row>
    <row r="161" spans="2:28" ht="12.75" customHeight="1">
      <c r="B161" s="3"/>
      <c r="C161" s="13"/>
      <c r="D161" s="925"/>
      <c r="E161" s="689"/>
      <c r="F161" s="936"/>
      <c r="G161" s="940"/>
      <c r="H161" s="926"/>
      <c r="I161" s="926"/>
      <c r="J161" s="926"/>
      <c r="K161" s="926"/>
      <c r="L161" s="947"/>
      <c r="M161" s="940"/>
      <c r="N161" s="926"/>
      <c r="O161" s="925"/>
      <c r="P161" s="938"/>
      <c r="Q161" s="22"/>
      <c r="W161" s="927"/>
      <c r="X161" s="13"/>
      <c r="Y161" s="1"/>
      <c r="Z161" s="928"/>
      <c r="AB161" s="939"/>
    </row>
    <row r="162" spans="2:28" hidden="1">
      <c r="B162" s="3"/>
      <c r="C162" s="13"/>
      <c r="D162" s="925"/>
      <c r="E162" s="689"/>
      <c r="F162" s="940"/>
      <c r="G162" s="936"/>
      <c r="H162" s="926"/>
      <c r="I162" s="926"/>
      <c r="J162" s="926"/>
      <c r="K162" s="926"/>
      <c r="L162" s="935"/>
      <c r="M162" s="935"/>
      <c r="N162" s="926"/>
      <c r="O162" s="925"/>
      <c r="P162" s="107"/>
      <c r="Q162" s="22"/>
      <c r="W162" s="927"/>
      <c r="X162" s="13"/>
      <c r="Y162" s="1"/>
      <c r="Z162" s="928"/>
      <c r="AB162" s="933"/>
    </row>
    <row r="163" spans="2:28" ht="13.5" customHeight="1">
      <c r="B163" s="3"/>
      <c r="C163" s="4"/>
      <c r="D163" s="925"/>
      <c r="E163" s="689"/>
      <c r="F163" s="936"/>
      <c r="G163" s="936"/>
      <c r="H163" s="926"/>
      <c r="I163" s="926"/>
      <c r="J163" s="926"/>
      <c r="K163" s="926"/>
      <c r="L163" s="940"/>
      <c r="M163" s="940"/>
      <c r="N163" s="926"/>
      <c r="O163" s="925"/>
      <c r="P163" s="107"/>
      <c r="Q163" s="22"/>
      <c r="W163" s="927"/>
      <c r="X163" s="13"/>
      <c r="Y163" s="1"/>
      <c r="Z163" s="928"/>
      <c r="AB163" s="929"/>
    </row>
    <row r="164" spans="2:28" ht="12.75" customHeight="1">
      <c r="B164" s="3"/>
      <c r="C164" s="13"/>
      <c r="D164" s="925"/>
      <c r="E164" s="689"/>
      <c r="F164" s="935"/>
      <c r="G164" s="936"/>
      <c r="H164" s="947"/>
      <c r="I164" s="926"/>
      <c r="J164" s="926"/>
      <c r="K164" s="926"/>
      <c r="L164" s="935"/>
      <c r="M164" s="936"/>
      <c r="N164" s="926"/>
      <c r="O164" s="930"/>
      <c r="P164" s="938"/>
      <c r="Q164" s="22"/>
      <c r="W164" s="927"/>
      <c r="X164" s="13"/>
      <c r="Y164" s="1"/>
      <c r="Z164" s="928"/>
      <c r="AB164" s="939"/>
    </row>
    <row r="165" spans="2:28" ht="12.75" customHeight="1">
      <c r="B165" s="3"/>
      <c r="C165" s="13"/>
      <c r="D165" s="925"/>
      <c r="E165" s="689"/>
      <c r="F165" s="947"/>
      <c r="G165" s="947"/>
      <c r="H165" s="926"/>
      <c r="I165" s="926"/>
      <c r="J165" s="926"/>
      <c r="K165" s="926"/>
      <c r="L165" s="948"/>
      <c r="M165" s="947"/>
      <c r="N165" s="926"/>
      <c r="O165" s="930"/>
      <c r="P165" s="107"/>
      <c r="Q165" s="22"/>
      <c r="W165" s="927"/>
      <c r="X165" s="13"/>
      <c r="Y165" s="1"/>
      <c r="Z165" s="928"/>
      <c r="AB165" s="942"/>
    </row>
    <row r="166" spans="2:28" ht="12.75" customHeight="1">
      <c r="B166" s="3"/>
      <c r="C166" s="13"/>
      <c r="D166" s="925"/>
      <c r="E166" s="943"/>
      <c r="F166" s="151"/>
      <c r="G166" s="151"/>
      <c r="H166" s="151"/>
      <c r="I166" s="151"/>
      <c r="J166" s="151"/>
      <c r="K166" s="151"/>
      <c r="L166" s="151"/>
      <c r="M166" s="151"/>
      <c r="N166" s="151"/>
      <c r="O166" s="930"/>
      <c r="P166" s="107"/>
      <c r="Q166" s="22"/>
      <c r="W166" s="927"/>
      <c r="X166" s="13"/>
      <c r="Y166" s="1"/>
      <c r="Z166" s="928"/>
      <c r="AB166" s="929"/>
    </row>
    <row r="167" spans="2:28" ht="12.75" customHeight="1">
      <c r="B167" s="3"/>
      <c r="C167" s="13"/>
      <c r="D167" s="925"/>
      <c r="E167" s="943"/>
      <c r="F167" s="151"/>
      <c r="G167" s="151"/>
      <c r="H167" s="151"/>
      <c r="I167" s="151"/>
      <c r="J167" s="151"/>
      <c r="K167" s="151"/>
      <c r="L167" s="151"/>
      <c r="M167" s="151"/>
      <c r="N167" s="151"/>
      <c r="O167" s="930"/>
      <c r="P167" s="107"/>
      <c r="Q167" s="22"/>
      <c r="W167" s="927"/>
      <c r="X167" s="13"/>
      <c r="Y167" s="1"/>
      <c r="Z167" s="928"/>
      <c r="AB167" s="929"/>
    </row>
    <row r="168" spans="2:28" ht="11.25" customHeight="1">
      <c r="B168" s="3"/>
      <c r="C168" s="13"/>
      <c r="D168" s="925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930"/>
      <c r="P168" s="107"/>
      <c r="Q168" s="22"/>
      <c r="W168" s="927"/>
      <c r="X168" s="13"/>
      <c r="Y168" s="1"/>
      <c r="Z168" s="928"/>
      <c r="AB168" s="929"/>
    </row>
    <row r="169" spans="2:28" ht="12.75" customHeight="1">
      <c r="B169" s="3"/>
      <c r="C169" s="13"/>
      <c r="D169" s="925"/>
      <c r="E169" s="151"/>
      <c r="F169" s="151"/>
      <c r="G169" s="151"/>
      <c r="H169" s="151"/>
      <c r="I169" s="151"/>
      <c r="J169" s="151"/>
      <c r="K169" s="944"/>
      <c r="L169" s="151"/>
      <c r="M169" s="151"/>
      <c r="N169" s="151"/>
      <c r="O169" s="932"/>
      <c r="P169" s="107"/>
      <c r="Q169" s="22"/>
      <c r="W169" s="945"/>
      <c r="X169" s="13"/>
      <c r="Y169" s="946"/>
      <c r="Z169" s="928"/>
      <c r="AB169" s="929"/>
    </row>
    <row r="170" spans="2:28" ht="11.25" customHeight="1"/>
    <row r="171" spans="2:28" ht="12.75" customHeight="1">
      <c r="B171" s="94"/>
      <c r="D171" s="94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U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U173" s="13"/>
    </row>
    <row r="174" spans="2:28">
      <c r="C174" s="22"/>
      <c r="D174" s="22"/>
      <c r="E174" s="14"/>
      <c r="F174" s="14"/>
      <c r="G174" s="14"/>
      <c r="H174" s="14"/>
      <c r="K174" s="14"/>
      <c r="L174" s="48"/>
      <c r="M174" s="13"/>
      <c r="N174" s="13"/>
      <c r="O174" s="9"/>
      <c r="P174" s="9"/>
      <c r="Q174" s="22"/>
      <c r="R174" s="22"/>
      <c r="T174" s="22"/>
      <c r="U174" s="13"/>
      <c r="AB174" s="92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U175" s="13"/>
      <c r="Z175" s="150"/>
      <c r="AB175" s="92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U176" s="13"/>
      <c r="Z176" s="150"/>
      <c r="AB176" s="92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45"/>
      <c r="X177" s="22"/>
      <c r="Y177" s="3"/>
      <c r="Z177" s="924"/>
      <c r="AB177" s="923"/>
    </row>
    <row r="178" spans="2:28">
      <c r="B178" s="3"/>
      <c r="C178" s="13"/>
      <c r="D178" s="925"/>
      <c r="E178" s="940"/>
      <c r="F178" s="926"/>
      <c r="G178" s="926"/>
      <c r="H178" s="926"/>
      <c r="I178" s="926"/>
      <c r="J178" s="926"/>
      <c r="K178" s="926"/>
      <c r="L178" s="926"/>
      <c r="M178" s="926"/>
      <c r="N178" s="926"/>
      <c r="O178" s="925"/>
      <c r="P178" s="22"/>
      <c r="Q178" s="22"/>
      <c r="S178" s="64"/>
      <c r="W178" s="927"/>
      <c r="X178" s="13"/>
      <c r="Y178" s="1"/>
      <c r="Z178" s="928"/>
      <c r="AB178" s="929"/>
    </row>
    <row r="179" spans="2:28">
      <c r="B179" s="3"/>
      <c r="C179" s="13"/>
      <c r="D179" s="925"/>
      <c r="E179" s="940"/>
      <c r="F179" s="926"/>
      <c r="G179" s="926"/>
      <c r="H179" s="926"/>
      <c r="I179" s="926"/>
      <c r="J179" s="926"/>
      <c r="K179" s="926"/>
      <c r="L179" s="926"/>
      <c r="M179" s="926"/>
      <c r="N179" s="926"/>
      <c r="O179" s="930"/>
      <c r="P179" s="107"/>
      <c r="Q179" s="22"/>
      <c r="W179" s="927"/>
      <c r="X179" s="13"/>
      <c r="Y179" s="1"/>
      <c r="Z179" s="928"/>
      <c r="AB179" s="929"/>
    </row>
    <row r="180" spans="2:28" ht="12" customHeight="1">
      <c r="B180" s="3"/>
      <c r="C180" s="13"/>
      <c r="D180" s="925"/>
      <c r="E180" s="940"/>
      <c r="F180" s="926"/>
      <c r="G180" s="926"/>
      <c r="H180" s="940"/>
      <c r="I180" s="926"/>
      <c r="J180" s="926"/>
      <c r="K180" s="940"/>
      <c r="L180" s="926"/>
      <c r="M180" s="926"/>
      <c r="N180" s="926"/>
      <c r="O180" s="925"/>
      <c r="P180" s="107"/>
      <c r="Q180" s="22"/>
      <c r="W180" s="927"/>
      <c r="X180" s="13"/>
      <c r="Y180" s="1"/>
      <c r="Z180" s="928"/>
      <c r="AB180" s="931"/>
    </row>
    <row r="181" spans="2:28">
      <c r="B181" s="3"/>
      <c r="C181" s="13"/>
      <c r="D181" s="925"/>
      <c r="E181" s="940"/>
      <c r="F181" s="926"/>
      <c r="G181" s="926"/>
      <c r="H181" s="926"/>
      <c r="I181" s="926"/>
      <c r="J181" s="926"/>
      <c r="K181" s="926"/>
      <c r="L181" s="926"/>
      <c r="M181" s="926"/>
      <c r="N181" s="940"/>
      <c r="O181" s="932"/>
      <c r="P181" s="107"/>
      <c r="Q181" s="22"/>
      <c r="W181" s="927"/>
      <c r="X181" s="13"/>
      <c r="Y181" s="1"/>
      <c r="Z181" s="928"/>
      <c r="AB181" s="929"/>
    </row>
    <row r="182" spans="2:28" ht="12.75" customHeight="1">
      <c r="B182" s="3"/>
      <c r="C182" s="13"/>
      <c r="D182" s="925"/>
      <c r="E182" s="940"/>
      <c r="F182" s="926"/>
      <c r="G182" s="926"/>
      <c r="H182" s="926"/>
      <c r="I182" s="926"/>
      <c r="J182" s="926"/>
      <c r="K182" s="926"/>
      <c r="L182" s="926"/>
      <c r="M182" s="926"/>
      <c r="N182" s="926"/>
      <c r="O182" s="925"/>
      <c r="P182" s="107"/>
      <c r="Q182" s="22"/>
      <c r="W182" s="927"/>
      <c r="X182" s="13"/>
      <c r="Y182" s="1"/>
      <c r="Z182" s="928"/>
      <c r="AB182" s="933"/>
    </row>
    <row r="183" spans="2:28">
      <c r="B183" s="3"/>
      <c r="C183" s="13"/>
      <c r="D183" s="925"/>
      <c r="E183" s="940"/>
      <c r="F183" s="926"/>
      <c r="G183" s="926"/>
      <c r="H183" s="926"/>
      <c r="I183" s="926"/>
      <c r="J183" s="926"/>
      <c r="K183" s="926"/>
      <c r="L183" s="926"/>
      <c r="M183" s="926"/>
      <c r="N183" s="926"/>
      <c r="O183" s="925"/>
      <c r="P183" s="107"/>
      <c r="Q183" s="22"/>
      <c r="W183" s="927"/>
      <c r="X183" s="13"/>
      <c r="Y183" s="1"/>
      <c r="Z183" s="928"/>
      <c r="AB183" s="931"/>
    </row>
    <row r="184" spans="2:28" ht="15" customHeight="1">
      <c r="B184" s="3"/>
      <c r="C184" s="13"/>
      <c r="D184" s="925"/>
      <c r="E184" s="940"/>
      <c r="F184" s="926"/>
      <c r="G184" s="9"/>
      <c r="H184" s="935"/>
      <c r="I184" s="940"/>
      <c r="J184" s="926"/>
      <c r="K184" s="926"/>
      <c r="L184" s="926"/>
      <c r="M184" s="926"/>
      <c r="N184" s="926"/>
      <c r="O184" s="934"/>
      <c r="P184" s="107"/>
      <c r="Q184" s="22"/>
      <c r="W184" s="927"/>
      <c r="X184" s="13"/>
      <c r="Y184" s="1"/>
      <c r="Z184" s="928"/>
      <c r="AB184" s="933"/>
    </row>
    <row r="185" spans="2:28">
      <c r="B185" s="3"/>
      <c r="C185" s="13"/>
      <c r="D185" s="925"/>
      <c r="E185" s="940"/>
      <c r="F185" s="926"/>
      <c r="G185" s="926"/>
      <c r="H185" s="926"/>
      <c r="I185" s="926"/>
      <c r="J185" s="926"/>
      <c r="K185" s="926"/>
      <c r="L185" s="926"/>
      <c r="M185" s="926"/>
      <c r="N185" s="926"/>
      <c r="O185" s="925"/>
      <c r="P185" s="107"/>
      <c r="Q185" s="22"/>
      <c r="W185" s="927"/>
      <c r="X185" s="13"/>
      <c r="Y185" s="1"/>
      <c r="Z185" s="928"/>
      <c r="AB185" s="929"/>
    </row>
    <row r="186" spans="2:28">
      <c r="B186" s="3"/>
      <c r="C186" s="13"/>
      <c r="D186" s="925"/>
      <c r="E186" s="940"/>
      <c r="F186" s="926"/>
      <c r="G186" s="926"/>
      <c r="H186" s="926"/>
      <c r="I186" s="926"/>
      <c r="J186" s="926"/>
      <c r="K186" s="926"/>
      <c r="L186" s="926"/>
      <c r="M186" s="926"/>
      <c r="N186" s="926"/>
      <c r="O186" s="925"/>
      <c r="P186" s="107"/>
      <c r="Q186" s="22"/>
      <c r="W186" s="927"/>
      <c r="X186" s="13"/>
      <c r="Y186" s="1"/>
      <c r="Z186" s="928"/>
      <c r="AB186" s="929"/>
    </row>
    <row r="187" spans="2:28">
      <c r="B187" s="3"/>
      <c r="C187" s="13"/>
      <c r="D187" s="925"/>
      <c r="E187" s="940"/>
      <c r="F187" s="926"/>
      <c r="G187" s="926"/>
      <c r="H187" s="926"/>
      <c r="I187" s="926"/>
      <c r="J187" s="926"/>
      <c r="K187" s="926"/>
      <c r="L187" s="926"/>
      <c r="M187" s="926"/>
      <c r="N187" s="926"/>
      <c r="O187" s="925"/>
      <c r="P187" s="107"/>
      <c r="Q187" s="22"/>
      <c r="W187" s="927"/>
      <c r="X187" s="13"/>
      <c r="Y187" s="1"/>
      <c r="Z187" s="928"/>
      <c r="AB187" s="929"/>
    </row>
    <row r="188" spans="2:28">
      <c r="B188" s="3"/>
      <c r="C188" s="13"/>
      <c r="D188" s="925"/>
      <c r="E188" s="940"/>
      <c r="F188" s="926"/>
      <c r="G188" s="926"/>
      <c r="H188" s="926"/>
      <c r="I188" s="926"/>
      <c r="J188" s="926"/>
      <c r="K188" s="926"/>
      <c r="L188" s="926"/>
      <c r="M188" s="926"/>
      <c r="N188" s="926"/>
      <c r="O188" s="925"/>
      <c r="P188" s="107"/>
      <c r="Q188" s="22"/>
      <c r="W188" s="927"/>
      <c r="X188" s="13"/>
      <c r="Y188" s="1"/>
      <c r="Z188" s="928"/>
      <c r="AB188" s="929"/>
    </row>
    <row r="189" spans="2:28">
      <c r="B189" s="3"/>
      <c r="C189" s="13"/>
      <c r="D189" s="925"/>
      <c r="E189" s="940"/>
      <c r="F189" s="926"/>
      <c r="G189" s="926"/>
      <c r="H189" s="926"/>
      <c r="I189" s="926"/>
      <c r="J189" s="926"/>
      <c r="K189" s="926"/>
      <c r="L189" s="926"/>
      <c r="M189" s="926"/>
      <c r="N189" s="926"/>
      <c r="O189" s="925"/>
      <c r="P189" s="107"/>
      <c r="Q189" s="22"/>
      <c r="W189" s="927"/>
      <c r="X189" s="13"/>
      <c r="Y189" s="1"/>
      <c r="Z189" s="928"/>
      <c r="AB189" s="929"/>
    </row>
    <row r="190" spans="2:28">
      <c r="B190" s="3"/>
      <c r="C190" s="13"/>
      <c r="D190" s="925"/>
      <c r="E190" s="940"/>
      <c r="F190" s="926"/>
      <c r="G190" s="926"/>
      <c r="H190" s="926"/>
      <c r="I190" s="926"/>
      <c r="J190" s="926"/>
      <c r="K190" s="926"/>
      <c r="L190" s="926"/>
      <c r="M190" s="926"/>
      <c r="N190" s="926"/>
      <c r="O190" s="925"/>
      <c r="P190" s="107"/>
      <c r="Q190" s="22"/>
      <c r="W190" s="927"/>
      <c r="X190" s="13"/>
      <c r="Y190" s="1"/>
      <c r="Z190" s="928"/>
      <c r="AB190" s="929"/>
    </row>
    <row r="191" spans="2:28">
      <c r="B191" s="3"/>
      <c r="C191" s="13"/>
      <c r="D191" s="925"/>
      <c r="E191" s="940"/>
      <c r="F191" s="926"/>
      <c r="G191" s="926"/>
      <c r="H191" s="926"/>
      <c r="I191" s="926"/>
      <c r="J191" s="926"/>
      <c r="K191" s="926"/>
      <c r="L191" s="926"/>
      <c r="M191" s="926"/>
      <c r="N191" s="926"/>
      <c r="O191" s="925"/>
      <c r="P191" s="107"/>
      <c r="Q191" s="22"/>
      <c r="W191" s="927"/>
      <c r="X191" s="13"/>
      <c r="Y191" s="1"/>
      <c r="Z191" s="928"/>
      <c r="AB191" s="929"/>
    </row>
    <row r="192" spans="2:28" ht="13.5" customHeight="1">
      <c r="B192" s="3"/>
      <c r="C192" s="13"/>
      <c r="D192" s="925"/>
      <c r="E192" s="940"/>
      <c r="F192" s="926"/>
      <c r="G192" s="926"/>
      <c r="H192" s="926"/>
      <c r="I192" s="926"/>
      <c r="J192" s="926"/>
      <c r="K192" s="926"/>
      <c r="L192" s="926"/>
      <c r="M192" s="926"/>
      <c r="N192" s="926"/>
      <c r="O192" s="925"/>
      <c r="P192" s="107"/>
      <c r="Q192" s="22"/>
      <c r="W192" s="927"/>
      <c r="X192" s="13"/>
      <c r="Y192" s="1"/>
      <c r="Z192" s="928"/>
      <c r="AB192" s="931"/>
    </row>
    <row r="193" spans="2:28" ht="12" customHeight="1">
      <c r="B193" s="3"/>
      <c r="C193" s="13"/>
      <c r="D193" s="925"/>
      <c r="E193" s="943"/>
      <c r="F193" s="935"/>
      <c r="G193" s="936"/>
      <c r="H193" s="926"/>
      <c r="I193" s="926"/>
      <c r="J193" s="926"/>
      <c r="K193" s="926"/>
      <c r="L193" s="935"/>
      <c r="M193" s="935"/>
      <c r="N193" s="926"/>
      <c r="O193" s="930"/>
      <c r="P193" s="107"/>
      <c r="Q193" s="22"/>
      <c r="W193" s="927"/>
      <c r="X193" s="13"/>
      <c r="Y193" s="1"/>
      <c r="Z193" s="928"/>
      <c r="AB193" s="937"/>
    </row>
    <row r="194" spans="2:28">
      <c r="B194" s="3"/>
      <c r="C194" s="13"/>
      <c r="D194" s="925"/>
      <c r="E194" s="943"/>
      <c r="F194" s="935"/>
      <c r="G194" s="936"/>
      <c r="H194" s="926"/>
      <c r="I194" s="926"/>
      <c r="J194" s="926"/>
      <c r="K194" s="926"/>
      <c r="L194" s="935"/>
      <c r="M194" s="935"/>
      <c r="N194" s="926"/>
      <c r="O194" s="925"/>
      <c r="P194" s="107"/>
      <c r="Q194" s="22"/>
      <c r="W194" s="927"/>
      <c r="X194" s="13"/>
      <c r="Y194" s="1"/>
      <c r="Z194" s="928"/>
      <c r="AB194" s="929"/>
    </row>
    <row r="195" spans="2:28" ht="13.5" customHeight="1">
      <c r="B195" s="3"/>
      <c r="C195" s="13"/>
      <c r="D195" s="925"/>
      <c r="E195" s="943"/>
      <c r="F195" s="935"/>
      <c r="G195" s="936"/>
      <c r="H195" s="926"/>
      <c r="I195" s="926"/>
      <c r="J195" s="926"/>
      <c r="K195" s="926"/>
      <c r="L195" s="935"/>
      <c r="M195" s="935"/>
      <c r="N195" s="926"/>
      <c r="O195" s="925"/>
      <c r="P195" s="107"/>
      <c r="Q195" s="22"/>
      <c r="W195" s="927"/>
      <c r="X195" s="13"/>
      <c r="Y195" s="1"/>
      <c r="Z195" s="928"/>
      <c r="AB195" s="929"/>
    </row>
    <row r="196" spans="2:28">
      <c r="B196" s="3"/>
      <c r="C196" s="13"/>
      <c r="D196" s="925"/>
      <c r="E196" s="943"/>
      <c r="F196" s="935"/>
      <c r="G196" s="936"/>
      <c r="H196" s="926"/>
      <c r="I196" s="947"/>
      <c r="J196" s="926"/>
      <c r="K196" s="947"/>
      <c r="L196" s="940"/>
      <c r="M196" s="940"/>
      <c r="N196" s="926"/>
      <c r="O196" s="925"/>
      <c r="P196" s="107"/>
      <c r="Q196" s="22"/>
      <c r="W196" s="927"/>
      <c r="X196" s="13"/>
      <c r="Y196" s="1"/>
      <c r="Z196" s="928"/>
      <c r="AB196" s="933"/>
    </row>
    <row r="197" spans="2:28">
      <c r="B197" s="3"/>
      <c r="C197" s="13"/>
      <c r="D197" s="925"/>
      <c r="E197" s="943"/>
      <c r="F197" s="940"/>
      <c r="G197" s="936"/>
      <c r="H197" s="926"/>
      <c r="I197" s="926"/>
      <c r="J197" s="926"/>
      <c r="K197" s="926"/>
      <c r="L197" s="940"/>
      <c r="M197" s="940"/>
      <c r="N197" s="926"/>
      <c r="O197" s="925"/>
      <c r="P197" s="107"/>
      <c r="Q197" s="22"/>
      <c r="W197" s="927"/>
      <c r="X197" s="13"/>
      <c r="Y197" s="1"/>
      <c r="Z197" s="928"/>
      <c r="AB197" s="929"/>
    </row>
    <row r="198" spans="2:28" ht="12" customHeight="1">
      <c r="B198" s="3"/>
      <c r="C198" s="13"/>
      <c r="D198" s="925"/>
      <c r="E198" s="943"/>
      <c r="F198" s="935"/>
      <c r="G198" s="936"/>
      <c r="H198" s="926"/>
      <c r="I198" s="926"/>
      <c r="J198" s="926"/>
      <c r="K198" s="926"/>
      <c r="L198" s="940"/>
      <c r="M198" s="935"/>
      <c r="N198" s="926"/>
      <c r="O198" s="925"/>
      <c r="P198" s="107"/>
      <c r="Q198" s="22"/>
      <c r="W198" s="927"/>
      <c r="X198" s="13"/>
      <c r="Y198" s="1"/>
      <c r="Z198" s="928"/>
      <c r="AB198" s="929"/>
    </row>
    <row r="199" spans="2:28" ht="12.75" customHeight="1">
      <c r="B199" s="3"/>
      <c r="C199" s="13"/>
      <c r="D199" s="925"/>
      <c r="E199" s="943"/>
      <c r="F199" s="940"/>
      <c r="G199" s="936"/>
      <c r="H199" s="926"/>
      <c r="I199" s="926"/>
      <c r="J199" s="926"/>
      <c r="K199" s="926"/>
      <c r="L199" s="936"/>
      <c r="M199" s="936"/>
      <c r="N199" s="9"/>
      <c r="O199" s="925"/>
      <c r="P199" s="107"/>
      <c r="Q199" s="22"/>
      <c r="W199" s="927"/>
      <c r="X199" s="13"/>
      <c r="Y199" s="1"/>
      <c r="Z199" s="928"/>
      <c r="AB199" s="929"/>
    </row>
    <row r="200" spans="2:28" ht="11.25" customHeight="1">
      <c r="B200" s="3"/>
      <c r="C200" s="13"/>
      <c r="D200" s="925"/>
      <c r="E200" s="943"/>
      <c r="F200" s="940"/>
      <c r="G200" s="940"/>
      <c r="H200" s="926"/>
      <c r="I200" s="926"/>
      <c r="J200" s="926"/>
      <c r="K200" s="935"/>
      <c r="L200" s="947"/>
      <c r="M200" s="940"/>
      <c r="N200" s="936"/>
      <c r="O200" s="925"/>
      <c r="P200" s="107"/>
      <c r="Q200" s="22"/>
      <c r="W200" s="927"/>
      <c r="X200" s="13"/>
      <c r="Y200" s="1"/>
      <c r="Z200" s="928"/>
      <c r="AB200" s="929"/>
    </row>
    <row r="201" spans="2:28" ht="12" customHeight="1">
      <c r="B201" s="3"/>
      <c r="C201" s="13"/>
      <c r="D201" s="925"/>
      <c r="E201" s="943"/>
      <c r="F201" s="935"/>
      <c r="G201" s="936"/>
      <c r="H201" s="926"/>
      <c r="I201" s="926"/>
      <c r="J201" s="926"/>
      <c r="K201" s="926"/>
      <c r="L201" s="935"/>
      <c r="M201" s="935"/>
      <c r="N201" s="926"/>
      <c r="O201" s="925"/>
      <c r="P201" s="107"/>
      <c r="Q201" s="22"/>
      <c r="W201" s="927"/>
      <c r="X201" s="13"/>
      <c r="Y201" s="1"/>
      <c r="Z201" s="928"/>
      <c r="AB201" s="929"/>
    </row>
    <row r="202" spans="2:28">
      <c r="B202" s="3"/>
      <c r="C202" s="13"/>
      <c r="D202" s="925"/>
      <c r="E202" s="943"/>
      <c r="F202" s="940"/>
      <c r="G202" s="936"/>
      <c r="H202" s="926"/>
      <c r="I202" s="926"/>
      <c r="J202" s="926"/>
      <c r="K202" s="926"/>
      <c r="L202" s="936"/>
      <c r="M202" s="936"/>
      <c r="N202" s="926"/>
      <c r="O202" s="925"/>
      <c r="P202" s="938"/>
      <c r="Q202" s="22"/>
      <c r="W202" s="927"/>
      <c r="X202" s="13"/>
      <c r="Y202" s="1"/>
      <c r="Z202" s="928"/>
      <c r="AB202" s="939"/>
    </row>
    <row r="203" spans="2:28" ht="13.5" customHeight="1">
      <c r="B203" s="3"/>
      <c r="C203" s="13"/>
      <c r="D203" s="925"/>
      <c r="E203" s="943"/>
      <c r="F203" s="935"/>
      <c r="G203" s="936"/>
      <c r="H203" s="926"/>
      <c r="I203" s="926"/>
      <c r="J203" s="926"/>
      <c r="K203" s="926"/>
      <c r="L203" s="936"/>
      <c r="M203" s="936"/>
      <c r="N203" s="926"/>
      <c r="O203" s="925"/>
      <c r="P203" s="107"/>
      <c r="Q203" s="22"/>
      <c r="W203" s="927"/>
      <c r="X203" s="13"/>
      <c r="Y203" s="1"/>
      <c r="Z203" s="928"/>
      <c r="AB203" s="929"/>
    </row>
    <row r="204" spans="2:28" ht="13.5" customHeight="1">
      <c r="B204" s="3"/>
      <c r="C204" s="13"/>
      <c r="D204" s="925"/>
      <c r="E204" s="943"/>
      <c r="F204" s="936"/>
      <c r="G204" s="940"/>
      <c r="H204" s="926"/>
      <c r="I204" s="926"/>
      <c r="J204" s="926"/>
      <c r="K204" s="926"/>
      <c r="L204" s="947"/>
      <c r="M204" s="940"/>
      <c r="N204" s="926"/>
      <c r="O204" s="925"/>
      <c r="P204" s="938"/>
      <c r="Q204" s="22"/>
      <c r="W204" s="927"/>
      <c r="X204" s="13"/>
      <c r="Y204" s="1"/>
      <c r="Z204" s="928"/>
      <c r="AB204" s="939"/>
    </row>
    <row r="205" spans="2:28" hidden="1">
      <c r="B205" s="3"/>
      <c r="C205" s="13"/>
      <c r="D205" s="925"/>
      <c r="E205" s="943"/>
      <c r="F205" s="940"/>
      <c r="G205" s="936"/>
      <c r="H205" s="926"/>
      <c r="I205" s="926"/>
      <c r="J205" s="926"/>
      <c r="K205" s="926"/>
      <c r="L205" s="935"/>
      <c r="M205" s="935"/>
      <c r="N205" s="926"/>
      <c r="O205" s="925"/>
      <c r="P205" s="107"/>
      <c r="Q205" s="22"/>
      <c r="W205" s="927"/>
      <c r="X205" s="13"/>
      <c r="Y205" s="1"/>
      <c r="Z205" s="928"/>
      <c r="AB205" s="933"/>
    </row>
    <row r="206" spans="2:28" ht="13.5" customHeight="1">
      <c r="B206" s="3"/>
      <c r="C206" s="4"/>
      <c r="D206" s="925"/>
      <c r="E206" s="943"/>
      <c r="F206" s="936"/>
      <c r="G206" s="936"/>
      <c r="H206" s="926"/>
      <c r="I206" s="926"/>
      <c r="J206" s="926"/>
      <c r="K206" s="926"/>
      <c r="L206" s="940"/>
      <c r="M206" s="940"/>
      <c r="N206" s="926"/>
      <c r="O206" s="925"/>
      <c r="P206" s="107"/>
      <c r="Q206" s="22"/>
      <c r="W206" s="927"/>
      <c r="X206" s="13"/>
      <c r="Y206" s="1"/>
      <c r="Z206" s="928"/>
      <c r="AB206" s="929"/>
    </row>
    <row r="207" spans="2:28" ht="12" customHeight="1">
      <c r="B207" s="3"/>
      <c r="C207" s="13"/>
      <c r="D207" s="925"/>
      <c r="E207" s="943"/>
      <c r="F207" s="935"/>
      <c r="G207" s="936"/>
      <c r="H207" s="947"/>
      <c r="I207" s="926"/>
      <c r="J207" s="926"/>
      <c r="K207" s="926"/>
      <c r="L207" s="935"/>
      <c r="M207" s="936"/>
      <c r="N207" s="926"/>
      <c r="O207" s="930"/>
      <c r="P207" s="938"/>
      <c r="Q207" s="22"/>
      <c r="W207" s="927"/>
      <c r="X207" s="13"/>
      <c r="Y207" s="1"/>
      <c r="Z207" s="928"/>
      <c r="AB207" s="939"/>
    </row>
    <row r="208" spans="2:28" ht="13.5" customHeight="1">
      <c r="B208" s="3"/>
      <c r="C208" s="13"/>
      <c r="D208" s="925"/>
      <c r="E208" s="943"/>
      <c r="F208" s="947"/>
      <c r="G208" s="947"/>
      <c r="H208" s="926"/>
      <c r="I208" s="926"/>
      <c r="J208" s="926"/>
      <c r="K208" s="926"/>
      <c r="L208" s="948"/>
      <c r="M208" s="947"/>
      <c r="N208" s="926"/>
      <c r="O208" s="930"/>
      <c r="P208" s="107"/>
      <c r="Q208" s="22"/>
      <c r="W208" s="927"/>
      <c r="X208" s="13"/>
      <c r="Y208" s="1"/>
      <c r="Z208" s="928"/>
      <c r="AB208" s="942"/>
    </row>
    <row r="209" spans="2:28">
      <c r="B209" s="3"/>
      <c r="C209" s="13"/>
      <c r="D209" s="925"/>
      <c r="E209" s="943"/>
      <c r="F209" s="151"/>
      <c r="G209" s="151"/>
      <c r="H209" s="151"/>
      <c r="I209" s="151"/>
      <c r="J209" s="151"/>
      <c r="K209" s="151"/>
      <c r="L209" s="151"/>
      <c r="M209" s="151"/>
      <c r="N209" s="151"/>
      <c r="O209" s="930"/>
      <c r="P209" s="107"/>
      <c r="Q209" s="22"/>
      <c r="W209" s="927"/>
      <c r="X209" s="13"/>
      <c r="Y209" s="1"/>
      <c r="Z209" s="928"/>
      <c r="AB209" s="929"/>
    </row>
    <row r="210" spans="2:28" ht="12.75" customHeight="1">
      <c r="B210" s="3"/>
      <c r="C210" s="13"/>
      <c r="D210" s="925"/>
      <c r="E210" s="943"/>
      <c r="F210" s="151"/>
      <c r="G210" s="151"/>
      <c r="H210" s="151"/>
      <c r="I210" s="151"/>
      <c r="J210" s="151"/>
      <c r="K210" s="151"/>
      <c r="L210" s="151"/>
      <c r="M210" s="151"/>
      <c r="N210" s="151"/>
      <c r="O210" s="930"/>
      <c r="P210" s="107"/>
      <c r="Q210" s="22"/>
      <c r="W210" s="927"/>
      <c r="X210" s="13"/>
      <c r="Y210" s="1"/>
      <c r="Z210" s="928"/>
      <c r="AB210" s="929"/>
    </row>
    <row r="211" spans="2:28" ht="12" customHeight="1">
      <c r="B211" s="3"/>
      <c r="C211" s="13"/>
      <c r="D211" s="925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930"/>
      <c r="P211" s="107"/>
      <c r="Q211" s="22"/>
      <c r="W211" s="927"/>
      <c r="X211" s="13"/>
      <c r="Y211" s="1"/>
      <c r="Z211" s="928"/>
      <c r="AB211" s="929"/>
    </row>
    <row r="212" spans="2:28" ht="12.75" customHeight="1">
      <c r="B212" s="3"/>
      <c r="C212" s="13"/>
      <c r="D212" s="925"/>
      <c r="E212" s="151"/>
      <c r="F212" s="151"/>
      <c r="G212" s="151"/>
      <c r="H212" s="151"/>
      <c r="I212" s="151"/>
      <c r="J212" s="151"/>
      <c r="K212" s="944"/>
      <c r="L212" s="151"/>
      <c r="M212" s="151"/>
      <c r="N212" s="151"/>
      <c r="O212" s="932"/>
      <c r="P212" s="107"/>
      <c r="Q212" s="22"/>
      <c r="W212" s="945"/>
      <c r="X212" s="13"/>
      <c r="Y212" s="946"/>
      <c r="Z212" s="928"/>
      <c r="AB212" s="929"/>
    </row>
  </sheetData>
  <pageMargins left="0.118055555555556" right="0.118055555555556" top="0.15763888888888899" bottom="0.15763888888888899" header="0.51180555555555496" footer="0.51180555555555496"/>
  <pageSetup paperSize="9" scale="72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54106-4089-498B-911F-3C9B0DB95184}">
  <sheetPr>
    <pageSetUpPr fitToPage="1"/>
  </sheetPr>
  <dimension ref="B1:AH212"/>
  <sheetViews>
    <sheetView topLeftCell="A15" zoomScaleNormal="100" workbookViewId="0">
      <pane xSplit="1" topLeftCell="B1" activePane="topRight" state="frozen"/>
      <selection pane="topRight" sqref="A1:T43"/>
    </sheetView>
  </sheetViews>
  <sheetFormatPr defaultRowHeight="15"/>
  <cols>
    <col min="1" max="1" width="1.85546875" customWidth="1"/>
    <col min="2" max="2" width="4" customWidth="1"/>
    <col min="3" max="3" width="29.42578125" customWidth="1"/>
    <col min="4" max="4" width="8.7109375" customWidth="1"/>
    <col min="5" max="5" width="7.28515625" customWidth="1"/>
    <col min="6" max="6" width="6.85546875" customWidth="1"/>
    <col min="7" max="7" width="6.28515625" customWidth="1"/>
    <col min="8" max="8" width="6.425781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7.28515625" customWidth="1"/>
    <col min="17" max="19" width="7" customWidth="1"/>
    <col min="20" max="20" width="6.85546875" customWidth="1"/>
    <col min="21" max="21" width="14.140625" customWidth="1"/>
    <col min="23" max="23" width="7.7109375" customWidth="1"/>
    <col min="24" max="24" width="15.5703125" customWidth="1"/>
    <col min="25" max="25" width="10" customWidth="1"/>
    <col min="26" max="26" width="7.28515625" customWidth="1"/>
    <col min="28" max="28" width="9.85546875" customWidth="1"/>
    <col min="29" max="29" width="8.85546875" customWidth="1"/>
    <col min="30" max="30" width="9" customWidth="1"/>
    <col min="31" max="31" width="8" customWidth="1"/>
    <col min="32" max="32" width="15.140625" customWidth="1"/>
    <col min="33" max="33" width="14.42578125" customWidth="1"/>
  </cols>
  <sheetData>
    <row r="1" spans="2:34" ht="10.5" customHeight="1"/>
    <row r="2" spans="2:34" ht="15.75" thickBot="1">
      <c r="B2" s="143" t="s">
        <v>514</v>
      </c>
      <c r="D2" s="94" t="s">
        <v>27</v>
      </c>
      <c r="J2" t="s">
        <v>352</v>
      </c>
      <c r="O2" s="29"/>
      <c r="P2" s="29"/>
    </row>
    <row r="3" spans="2:34" ht="12.75" customHeight="1">
      <c r="B3" s="88"/>
      <c r="C3" s="634"/>
      <c r="D3" s="27" t="s">
        <v>28</v>
      </c>
      <c r="E3" s="67" t="s">
        <v>353</v>
      </c>
      <c r="F3" s="67"/>
      <c r="G3" s="67"/>
      <c r="H3" s="67"/>
      <c r="I3" s="67"/>
      <c r="J3" s="67"/>
      <c r="K3" s="67"/>
      <c r="L3" s="67"/>
      <c r="M3" s="51"/>
      <c r="N3" s="51"/>
      <c r="Q3" s="173" t="s">
        <v>29</v>
      </c>
      <c r="R3" s="173" t="s">
        <v>30</v>
      </c>
      <c r="S3" s="2236" t="s">
        <v>933</v>
      </c>
      <c r="T3" s="2236" t="s">
        <v>933</v>
      </c>
      <c r="V3" s="22"/>
      <c r="W3" s="13"/>
    </row>
    <row r="4" spans="2:34" ht="13.5" customHeight="1">
      <c r="B4" s="61"/>
      <c r="C4" s="635"/>
      <c r="D4" s="636" t="s">
        <v>287</v>
      </c>
      <c r="E4" s="14" t="s">
        <v>385</v>
      </c>
      <c r="F4" s="14"/>
      <c r="G4" s="14"/>
      <c r="H4" s="14"/>
      <c r="I4" s="14"/>
      <c r="J4" s="14"/>
      <c r="K4" s="14"/>
      <c r="L4" s="14"/>
      <c r="M4" s="13"/>
      <c r="N4" s="13"/>
      <c r="Q4" s="1517" t="s">
        <v>303</v>
      </c>
      <c r="R4" s="636" t="s">
        <v>31</v>
      </c>
      <c r="S4" s="2237" t="s">
        <v>129</v>
      </c>
      <c r="T4" s="2237" t="s">
        <v>129</v>
      </c>
      <c r="V4" s="22"/>
      <c r="W4" s="13"/>
    </row>
    <row r="5" spans="2:34" ht="12.75" customHeight="1" thickBot="1">
      <c r="B5" s="61"/>
      <c r="C5" s="637" t="s">
        <v>32</v>
      </c>
      <c r="D5" s="70" t="s">
        <v>29</v>
      </c>
      <c r="E5" s="72" t="s">
        <v>302</v>
      </c>
      <c r="F5" s="72"/>
      <c r="G5" s="72"/>
      <c r="H5" s="72"/>
      <c r="I5" t="s">
        <v>931</v>
      </c>
      <c r="K5" s="72"/>
      <c r="L5" s="48" t="s">
        <v>145</v>
      </c>
      <c r="M5" s="52"/>
      <c r="N5" s="52"/>
      <c r="Q5" s="636" t="s">
        <v>34</v>
      </c>
      <c r="R5" s="636" t="s">
        <v>33</v>
      </c>
      <c r="S5" s="2238" t="s">
        <v>934</v>
      </c>
      <c r="T5" s="2237" t="s">
        <v>934</v>
      </c>
      <c r="U5" s="62"/>
      <c r="V5" s="22"/>
      <c r="W5" s="13"/>
      <c r="AD5" s="922"/>
    </row>
    <row r="6" spans="2:34" ht="12.75" customHeight="1">
      <c r="B6" s="61" t="s">
        <v>288</v>
      </c>
      <c r="C6" s="635"/>
      <c r="D6" s="69" t="s">
        <v>46</v>
      </c>
      <c r="E6" s="27" t="s">
        <v>35</v>
      </c>
      <c r="F6" s="27" t="s">
        <v>36</v>
      </c>
      <c r="G6" s="27" t="s">
        <v>37</v>
      </c>
      <c r="H6" s="27" t="s">
        <v>38</v>
      </c>
      <c r="I6" s="26" t="s">
        <v>39</v>
      </c>
      <c r="J6" s="27" t="s">
        <v>40</v>
      </c>
      <c r="K6" s="26" t="s">
        <v>41</v>
      </c>
      <c r="L6" s="27" t="s">
        <v>42</v>
      </c>
      <c r="M6" s="26" t="s">
        <v>43</v>
      </c>
      <c r="N6" s="27" t="s">
        <v>44</v>
      </c>
      <c r="O6" s="27" t="s">
        <v>549</v>
      </c>
      <c r="P6" s="1101" t="s">
        <v>550</v>
      </c>
      <c r="Q6" s="636">
        <v>12</v>
      </c>
      <c r="R6" s="636" t="s">
        <v>45</v>
      </c>
      <c r="S6" s="636" t="s">
        <v>34</v>
      </c>
      <c r="T6" s="1517" t="s">
        <v>935</v>
      </c>
      <c r="V6" s="22"/>
      <c r="W6" s="13"/>
      <c r="AB6" s="150"/>
      <c r="AD6" s="922"/>
    </row>
    <row r="7" spans="2:34" ht="9.75" customHeight="1">
      <c r="B7" s="61"/>
      <c r="C7" s="637" t="s">
        <v>289</v>
      </c>
      <c r="E7" s="70" t="s">
        <v>47</v>
      </c>
      <c r="F7" s="70" t="s">
        <v>47</v>
      </c>
      <c r="G7" s="70" t="s">
        <v>47</v>
      </c>
      <c r="H7" s="70" t="s">
        <v>47</v>
      </c>
      <c r="I7" s="22" t="s">
        <v>47</v>
      </c>
      <c r="J7" s="70" t="s">
        <v>47</v>
      </c>
      <c r="K7" s="70" t="s">
        <v>47</v>
      </c>
      <c r="L7" s="22" t="s">
        <v>47</v>
      </c>
      <c r="M7" s="70" t="s">
        <v>47</v>
      </c>
      <c r="N7" s="70" t="s">
        <v>47</v>
      </c>
      <c r="O7" s="70" t="s">
        <v>47</v>
      </c>
      <c r="P7" s="607" t="s">
        <v>47</v>
      </c>
      <c r="Q7" s="636" t="s">
        <v>936</v>
      </c>
      <c r="R7" s="636" t="s">
        <v>279</v>
      </c>
      <c r="S7" s="636" t="s">
        <v>937</v>
      </c>
      <c r="T7" s="1517"/>
      <c r="U7" s="62"/>
      <c r="V7" s="22"/>
      <c r="W7" s="13"/>
      <c r="AB7" s="150"/>
      <c r="AD7" s="923"/>
    </row>
    <row r="8" spans="2:34" ht="14.25" customHeight="1" thickBot="1">
      <c r="B8" s="61"/>
      <c r="C8" s="638"/>
      <c r="D8" s="73" t="s">
        <v>290</v>
      </c>
      <c r="E8" s="52"/>
      <c r="F8" s="53"/>
      <c r="G8" s="52"/>
      <c r="H8" s="53"/>
      <c r="I8" s="106"/>
      <c r="J8" s="53"/>
      <c r="K8" s="53"/>
      <c r="L8" s="52"/>
      <c r="M8" s="53"/>
      <c r="N8" s="630"/>
      <c r="O8" s="985"/>
      <c r="P8" s="2227"/>
      <c r="Q8" s="636"/>
      <c r="R8" s="636" t="s">
        <v>280</v>
      </c>
      <c r="S8" s="2239">
        <v>0.7</v>
      </c>
      <c r="T8" s="2240">
        <v>1</v>
      </c>
      <c r="U8" s="3"/>
      <c r="V8" s="22"/>
      <c r="W8" s="13"/>
      <c r="Y8" s="345"/>
      <c r="Z8" s="22"/>
      <c r="AA8" s="3"/>
      <c r="AB8" s="924"/>
      <c r="AD8" s="923"/>
    </row>
    <row r="9" spans="2:34" ht="12.75" customHeight="1">
      <c r="B9" s="639">
        <v>1</v>
      </c>
      <c r="C9" s="640" t="s">
        <v>291</v>
      </c>
      <c r="D9" s="189">
        <v>84</v>
      </c>
      <c r="E9" s="853">
        <f>'12-18л. РАСКЛАДКА'!AO7</f>
        <v>80</v>
      </c>
      <c r="F9" s="77">
        <f>'12-18л. РАСКЛАДКА'!AO70</f>
        <v>90</v>
      </c>
      <c r="G9" s="77">
        <f>'12-18л. РАСКЛАДКА'!AO132</f>
        <v>70</v>
      </c>
      <c r="H9" s="77">
        <f>'12-18л. РАСКЛАДКА'!AO189</f>
        <v>50</v>
      </c>
      <c r="I9" s="77">
        <f>'12-18л. РАСКЛАДКА'!AO246</f>
        <v>120</v>
      </c>
      <c r="J9" s="77">
        <f>'12-18л. РАСКЛАДКА'!AO300</f>
        <v>74</v>
      </c>
      <c r="K9" s="77">
        <f>'12-18л. РАСКЛАДКА'!AO354</f>
        <v>70</v>
      </c>
      <c r="L9" s="77">
        <f>'12-18л. РАСКЛАДКА'!AO405</f>
        <v>110</v>
      </c>
      <c r="M9" s="77">
        <f>'12-18л. РАСКЛАДКА'!AO458</f>
        <v>70</v>
      </c>
      <c r="N9" s="77">
        <f>'12-18л. РАСКЛАДКА'!AO513</f>
        <v>90</v>
      </c>
      <c r="O9" s="77">
        <f>'12-18л. РАСКЛАДКА'!AO567</f>
        <v>100</v>
      </c>
      <c r="P9" s="2228">
        <f>'12-18л. РАСКЛАДКА'!AO623</f>
        <v>84</v>
      </c>
      <c r="Q9" s="2250">
        <f>E9+F9+G9+H9+I9+J9+K9+L9+M9+N9+O9+P9</f>
        <v>1008</v>
      </c>
      <c r="R9" s="2614">
        <f>(Q9*100/S9)-100</f>
        <v>0</v>
      </c>
      <c r="S9" s="2241">
        <f>(T9*70/100)*12</f>
        <v>1008</v>
      </c>
      <c r="T9" s="2242">
        <v>120</v>
      </c>
      <c r="U9" s="3"/>
      <c r="Y9" s="927"/>
      <c r="Z9" s="13"/>
      <c r="AA9" s="1"/>
      <c r="AB9" s="928"/>
      <c r="AD9" s="929"/>
    </row>
    <row r="10" spans="2:34" ht="13.5" customHeight="1">
      <c r="B10" s="596">
        <v>2</v>
      </c>
      <c r="C10" s="238" t="s">
        <v>48</v>
      </c>
      <c r="D10" s="160">
        <v>140</v>
      </c>
      <c r="E10" s="853">
        <f>'12-18л. РАСКЛАДКА'!AO8</f>
        <v>145</v>
      </c>
      <c r="F10" s="77">
        <f>'12-18л. РАСКЛАДКА'!AO71</f>
        <v>170</v>
      </c>
      <c r="G10" s="77">
        <f>'12-18л. РАСКЛАДКА'!AO133</f>
        <v>159</v>
      </c>
      <c r="H10" s="77">
        <f>'12-18л. РАСКЛАДКА'!AO190</f>
        <v>100</v>
      </c>
      <c r="I10" s="77">
        <f>'12-18л. РАСКЛАДКА'!AO247</f>
        <v>150</v>
      </c>
      <c r="J10" s="77">
        <f>'12-18л. РАСКЛАДКА'!AO301</f>
        <v>170</v>
      </c>
      <c r="K10" s="77">
        <f>'12-18л. РАСКЛАДКА'!AO355</f>
        <v>133.5</v>
      </c>
      <c r="L10" s="77">
        <f>'12-18л. РАСКЛАДКА'!AO406</f>
        <v>106</v>
      </c>
      <c r="M10" s="77">
        <f>'12-18л. РАСКЛАДКА'!AO459</f>
        <v>150</v>
      </c>
      <c r="N10" s="77">
        <f>'12-18л. РАСКЛАДКА'!AO514</f>
        <v>116</v>
      </c>
      <c r="O10" s="77">
        <f>'12-18л. РАСКЛАДКА'!AO568</f>
        <v>160.5</v>
      </c>
      <c r="P10" s="2228">
        <f>'12-18л. РАСКЛАДКА'!AO624</f>
        <v>120</v>
      </c>
      <c r="Q10" s="2251">
        <f>E10+F10+G10+H10+I10+J10+K10+L10+M10+N10+O10+P10</f>
        <v>1680</v>
      </c>
      <c r="R10" s="2564">
        <f t="shared" ref="R10:R43" si="0">(Q10*100/S10)-100</f>
        <v>0</v>
      </c>
      <c r="S10" s="2243">
        <f t="shared" ref="S10:S43" si="1">(T10*70/100)*12</f>
        <v>1680</v>
      </c>
      <c r="T10" s="2244">
        <v>200</v>
      </c>
      <c r="U10" s="3"/>
      <c r="Y10" s="927"/>
      <c r="Z10" s="13"/>
      <c r="AA10" s="1"/>
      <c r="AB10" s="928"/>
      <c r="AD10" s="929"/>
    </row>
    <row r="11" spans="2:34">
      <c r="B11" s="596">
        <v>3</v>
      </c>
      <c r="C11" s="238" t="s">
        <v>49</v>
      </c>
      <c r="D11" s="160">
        <v>14</v>
      </c>
      <c r="E11" s="853">
        <f>'12-18л. РАСКЛАДКА'!AO9</f>
        <v>4.1399999999999997</v>
      </c>
      <c r="F11" s="77">
        <f>'12-18л. РАСКЛАДКА'!AO72</f>
        <v>1.35</v>
      </c>
      <c r="G11" s="77">
        <f>'12-18л. РАСКЛАДКА'!AO134</f>
        <v>16.810000000000002</v>
      </c>
      <c r="H11" s="77">
        <f>'12-18л. РАСКЛАДКА'!AO191</f>
        <v>15.6</v>
      </c>
      <c r="I11" s="77">
        <f>'12-18л. РАСКЛАДКА'!AO248</f>
        <v>39.825000000000003</v>
      </c>
      <c r="J11" s="77">
        <f>'12-18л. РАСКЛАДКА'!AO302</f>
        <v>11.35</v>
      </c>
      <c r="K11" s="77">
        <f>'12-18л. РАСКЛАДКА'!AO356</f>
        <v>6.8</v>
      </c>
      <c r="L11" s="77">
        <f>'12-18л. РАСКЛАДКА'!AO407</f>
        <v>13.76</v>
      </c>
      <c r="M11" s="77">
        <f>'12-18л. РАСКЛАДКА'!AO460</f>
        <v>8.7800000000000011</v>
      </c>
      <c r="N11" s="77">
        <f>'12-18л. РАСКЛАДКА'!AO515</f>
        <v>29.664999999999999</v>
      </c>
      <c r="O11" s="77">
        <f>'12-18л. РАСКЛАДКА'!AO569</f>
        <v>6.45</v>
      </c>
      <c r="P11" s="2228">
        <f>'12-18л. РАСКЛАДКА'!AO625</f>
        <v>13.470000000000002</v>
      </c>
      <c r="Q11" s="2251">
        <f t="shared" ref="Q11:Q42" si="2">E11+F11+G11+H11+I11+J11+K11+L11+M11+N11+O11+P11</f>
        <v>168</v>
      </c>
      <c r="R11" s="2564">
        <f t="shared" si="0"/>
        <v>0</v>
      </c>
      <c r="S11" s="2243">
        <f t="shared" si="1"/>
        <v>168</v>
      </c>
      <c r="T11" s="2244">
        <v>20</v>
      </c>
      <c r="U11" s="3"/>
      <c r="Y11" s="927"/>
      <c r="Z11" s="13"/>
      <c r="AA11" s="1"/>
      <c r="AB11" s="928"/>
      <c r="AD11" s="931"/>
    </row>
    <row r="12" spans="2:34">
      <c r="B12" s="596">
        <v>4</v>
      </c>
      <c r="C12" s="238" t="s">
        <v>50</v>
      </c>
      <c r="D12" s="160">
        <v>35</v>
      </c>
      <c r="E12" s="853">
        <f>'12-18л. РАСКЛАДКА'!AO10</f>
        <v>31</v>
      </c>
      <c r="F12" s="77">
        <f>'12-18л. РАСКЛАДКА'!AO73</f>
        <v>71.7</v>
      </c>
      <c r="G12" s="77">
        <f>'12-18л. РАСКЛАДКА'!AO135</f>
        <v>38.85</v>
      </c>
      <c r="H12" s="77">
        <f>'12-18л. РАСКЛАДКА'!AO192</f>
        <v>30.8</v>
      </c>
      <c r="I12" s="77">
        <f>'12-18л. РАСКЛАДКА'!AO249</f>
        <v>0</v>
      </c>
      <c r="J12" s="77">
        <f>'12-18л. РАСКЛАДКА'!AO303</f>
        <v>43</v>
      </c>
      <c r="K12" s="77">
        <f>'12-18л. РАСКЛАДКА'!AO357</f>
        <v>5.05</v>
      </c>
      <c r="L12" s="77">
        <f>'12-18л. РАСКЛАДКА'!AO408</f>
        <v>20</v>
      </c>
      <c r="M12" s="77">
        <f>'12-18л. РАСКЛАДКА'!AO461</f>
        <v>47.6</v>
      </c>
      <c r="N12" s="77">
        <f>'12-18л. РАСКЛАДКА'!AO516</f>
        <v>34.909999999999997</v>
      </c>
      <c r="O12" s="77">
        <f>'12-18л. РАСКЛАДКА'!AO570</f>
        <v>57.09</v>
      </c>
      <c r="P12" s="2228">
        <f>'12-18л. РАСКЛАДКА'!AO626</f>
        <v>40</v>
      </c>
      <c r="Q12" s="2251">
        <f t="shared" si="2"/>
        <v>420.00000000000011</v>
      </c>
      <c r="R12" s="2564">
        <f t="shared" si="0"/>
        <v>0</v>
      </c>
      <c r="S12" s="2243">
        <f t="shared" si="1"/>
        <v>420</v>
      </c>
      <c r="T12" s="2244">
        <v>50</v>
      </c>
      <c r="U12" s="3"/>
      <c r="Y12" s="927"/>
      <c r="Z12" s="13"/>
      <c r="AA12" s="1"/>
      <c r="AB12" s="928"/>
      <c r="AD12" s="929"/>
    </row>
    <row r="13" spans="2:34">
      <c r="B13" s="596">
        <v>5</v>
      </c>
      <c r="C13" s="238" t="s">
        <v>51</v>
      </c>
      <c r="D13" s="160">
        <v>14</v>
      </c>
      <c r="E13" s="853">
        <f>'12-18л. РАСКЛАДКА'!AO11</f>
        <v>49.1</v>
      </c>
      <c r="F13" s="77">
        <f>'12-18л. РАСКЛАДКА'!AO74</f>
        <v>20.9</v>
      </c>
      <c r="G13" s="77">
        <f>'12-18л. РАСКЛАДКА'!AO136</f>
        <v>0</v>
      </c>
      <c r="H13" s="77">
        <f>'12-18л. РАСКЛАДКА'!AO193</f>
        <v>0</v>
      </c>
      <c r="I13" s="77">
        <f>'12-18л. РАСКЛАДКА'!AO250</f>
        <v>0</v>
      </c>
      <c r="J13" s="77">
        <f>'12-18л. РАСКЛАДКА'!AO304</f>
        <v>0</v>
      </c>
      <c r="K13" s="77">
        <f>'12-18л. РАСКЛАДКА'!AO358</f>
        <v>24</v>
      </c>
      <c r="L13" s="77">
        <f>'12-18л. РАСКЛАДКА'!AO409</f>
        <v>60</v>
      </c>
      <c r="M13" s="77">
        <f>'12-18л. РАСКЛАДКА'!AO462</f>
        <v>0</v>
      </c>
      <c r="N13" s="77">
        <f>'12-18л. РАСКЛАДКА'!AO517</f>
        <v>0</v>
      </c>
      <c r="O13" s="77">
        <f>'12-18л. РАСКЛАДКА'!AO571</f>
        <v>0</v>
      </c>
      <c r="P13" s="2228">
        <f>'12-18л. РАСКЛАДКА'!AO627</f>
        <v>14</v>
      </c>
      <c r="Q13" s="2251">
        <f t="shared" si="2"/>
        <v>168</v>
      </c>
      <c r="R13" s="2564">
        <f t="shared" si="0"/>
        <v>0</v>
      </c>
      <c r="S13" s="2243">
        <f t="shared" si="1"/>
        <v>168</v>
      </c>
      <c r="T13" s="2244">
        <v>20</v>
      </c>
      <c r="U13" s="3"/>
      <c r="Y13" s="927"/>
      <c r="Z13" s="13"/>
      <c r="AA13" s="1"/>
      <c r="AB13" s="928"/>
      <c r="AD13" s="933"/>
    </row>
    <row r="14" spans="2:34">
      <c r="B14" s="596">
        <v>6</v>
      </c>
      <c r="C14" s="238" t="s">
        <v>52</v>
      </c>
      <c r="D14" s="160">
        <v>130.9</v>
      </c>
      <c r="E14" s="853">
        <f>'12-18л. РАСКЛАДКА'!AO12</f>
        <v>20</v>
      </c>
      <c r="F14" s="77">
        <f>'12-18л. РАСКЛАДКА'!AO75</f>
        <v>0</v>
      </c>
      <c r="G14" s="77">
        <f>'12-18л. РАСКЛАДКА'!AO137</f>
        <v>146.80000000000001</v>
      </c>
      <c r="H14" s="77">
        <f>'12-18л. РАСКЛАДКА'!AO194</f>
        <v>146</v>
      </c>
      <c r="I14" s="77">
        <f>'12-18л. РАСКЛАДКА'!AO251</f>
        <v>241.61</v>
      </c>
      <c r="J14" s="77">
        <f>'12-18л. РАСКЛАДКА'!AO305</f>
        <v>183.42</v>
      </c>
      <c r="K14" s="77">
        <f>'12-18л. РАСКЛАДКА'!AO359</f>
        <v>132.6</v>
      </c>
      <c r="L14" s="77">
        <f>'12-18л. РАСКЛАДКА'!AO410</f>
        <v>142.82</v>
      </c>
      <c r="M14" s="77">
        <f>'12-18л. РАСКЛАДКА'!AO463</f>
        <v>215.10000000000002</v>
      </c>
      <c r="N14" s="77">
        <f>'12-18л. РАСКЛАДКА'!AO518</f>
        <v>41.71</v>
      </c>
      <c r="O14" s="77">
        <f>'12-18л. РАСКЛАДКА'!AO572</f>
        <v>154.08000000000001</v>
      </c>
      <c r="P14" s="2228">
        <f>'12-18л. РАСКЛАДКА'!AO628</f>
        <v>146.66</v>
      </c>
      <c r="Q14" s="2251">
        <f t="shared" si="2"/>
        <v>1570.8</v>
      </c>
      <c r="R14" s="2564">
        <f t="shared" si="0"/>
        <v>0</v>
      </c>
      <c r="S14" s="2243">
        <f t="shared" si="1"/>
        <v>1570.8000000000002</v>
      </c>
      <c r="T14" s="2244">
        <v>187</v>
      </c>
      <c r="U14" s="3"/>
      <c r="Y14" s="927"/>
      <c r="Z14" s="13"/>
      <c r="AA14" s="1"/>
      <c r="AB14" s="928"/>
      <c r="AD14" s="931"/>
    </row>
    <row r="15" spans="2:34">
      <c r="B15" s="596">
        <v>7</v>
      </c>
      <c r="C15" s="238" t="s">
        <v>292</v>
      </c>
      <c r="D15" s="160">
        <v>224</v>
      </c>
      <c r="E15" s="853">
        <f>'12-18л. РАСКЛАДКА'!AO13</f>
        <v>211.7</v>
      </c>
      <c r="F15" s="77">
        <f>'12-18л. РАСКЛАДКА'!AO76</f>
        <v>217.7</v>
      </c>
      <c r="G15" s="77">
        <f>'12-18л. РАСКЛАДКА'!AO138</f>
        <v>293.18700000000001</v>
      </c>
      <c r="H15" s="77">
        <f>'12-18л. РАСКЛАДКА'!AO195</f>
        <v>161.12</v>
      </c>
      <c r="I15" s="77">
        <f>'12-18л. РАСКЛАДКА'!AO252</f>
        <v>197.64500000000001</v>
      </c>
      <c r="J15" s="77">
        <f>'12-18л. РАСКЛАДКА'!AO306</f>
        <v>205.3</v>
      </c>
      <c r="K15" s="77">
        <f>'12-18л. РАСКЛАДКА'!AO360</f>
        <v>339.97</v>
      </c>
      <c r="L15" s="77">
        <f>'12-18л. РАСКЛАДКА'!AO411</f>
        <v>189.28</v>
      </c>
      <c r="M15" s="77">
        <f>'12-18л. РАСКЛАДКА'!AO464</f>
        <v>347.68</v>
      </c>
      <c r="N15" s="77">
        <f>'12-18л. РАСКЛАДКА'!AO519</f>
        <v>116.47</v>
      </c>
      <c r="O15" s="77">
        <f>'12-18л. РАСКЛАДКА'!AO573</f>
        <v>355.32799999999997</v>
      </c>
      <c r="P15" s="2228">
        <f>'12-18л. РАСКЛАДКА'!AO629</f>
        <v>351</v>
      </c>
      <c r="Q15" s="2251">
        <f t="shared" si="2"/>
        <v>2986.3799999999997</v>
      </c>
      <c r="R15" s="2564">
        <f t="shared" si="0"/>
        <v>11.100446428571402</v>
      </c>
      <c r="S15" s="2243">
        <f t="shared" si="1"/>
        <v>2688</v>
      </c>
      <c r="T15" s="2244">
        <v>320</v>
      </c>
      <c r="U15" s="66"/>
      <c r="Y15" s="927"/>
      <c r="Z15" s="13"/>
      <c r="AA15" s="1"/>
      <c r="AB15" s="928"/>
      <c r="AD15" s="933"/>
      <c r="AH15" s="176"/>
    </row>
    <row r="16" spans="2:34">
      <c r="B16" s="596">
        <v>8</v>
      </c>
      <c r="C16" s="238" t="s">
        <v>293</v>
      </c>
      <c r="D16" s="160">
        <v>129.5</v>
      </c>
      <c r="E16" s="853">
        <f>'12-18л. РАСКЛАДКА'!AO14</f>
        <v>215</v>
      </c>
      <c r="F16" s="77">
        <f>'12-18л. РАСКЛАДКА'!AO77</f>
        <v>120</v>
      </c>
      <c r="G16" s="77">
        <f>'12-18л. РАСКЛАДКА'!AO139</f>
        <v>140.5</v>
      </c>
      <c r="H16" s="77">
        <f>'12-18л. РАСКЛАДКА'!AO196</f>
        <v>130</v>
      </c>
      <c r="I16" s="77">
        <f>'12-18л. РАСКЛАДКА'!AO253</f>
        <v>115</v>
      </c>
      <c r="J16" s="77">
        <f>'12-18л. РАСКЛАДКА'!AO307</f>
        <v>137</v>
      </c>
      <c r="K16" s="77">
        <f>'12-18л. РАСКЛАДКА'!AO361</f>
        <v>105</v>
      </c>
      <c r="L16" s="77">
        <f>'12-18л. РАСКЛАДКА'!AO412</f>
        <v>110</v>
      </c>
      <c r="M16" s="77">
        <f>'12-18л. РАСКЛАДКА'!AO465</f>
        <v>119</v>
      </c>
      <c r="N16" s="77">
        <f>'12-18л. РАСКЛАДКА'!AO520</f>
        <v>105</v>
      </c>
      <c r="O16" s="77">
        <f>'12-18л. РАСКЛАДКА'!AO574</f>
        <v>147.5</v>
      </c>
      <c r="P16" s="2228">
        <f>'12-18л. РАСКЛАДКА'!AO630</f>
        <v>110</v>
      </c>
      <c r="Q16" s="2251">
        <f t="shared" si="2"/>
        <v>1554</v>
      </c>
      <c r="R16" s="2564">
        <f t="shared" si="0"/>
        <v>0</v>
      </c>
      <c r="S16" s="2243">
        <f t="shared" si="1"/>
        <v>1554</v>
      </c>
      <c r="T16" s="2244">
        <v>185</v>
      </c>
      <c r="U16" s="3"/>
      <c r="Y16" s="927"/>
      <c r="Z16" s="13"/>
      <c r="AA16" s="1"/>
      <c r="AB16" s="928"/>
      <c r="AD16" s="929"/>
    </row>
    <row r="17" spans="2:34">
      <c r="B17" s="596">
        <v>9</v>
      </c>
      <c r="C17" s="238" t="s">
        <v>122</v>
      </c>
      <c r="D17" s="160">
        <v>14</v>
      </c>
      <c r="E17" s="853">
        <f>'12-18л. РАСКЛАДКА'!AO15</f>
        <v>0</v>
      </c>
      <c r="F17" s="77">
        <f>'12-18л. РАСКЛАДКА'!AO78</f>
        <v>20</v>
      </c>
      <c r="G17" s="77">
        <f>'12-18л. РАСКЛАДКА'!AO140</f>
        <v>25</v>
      </c>
      <c r="H17" s="77">
        <f>'12-18л. РАСКЛАДКА'!AO197</f>
        <v>0</v>
      </c>
      <c r="I17" s="77">
        <f>'12-18л. РАСКЛАДКА'!AO254</f>
        <v>20</v>
      </c>
      <c r="J17" s="77">
        <f>'12-18л. РАСКЛАДКА'!AO308</f>
        <v>0</v>
      </c>
      <c r="K17" s="77">
        <f>'12-18л. РАСКЛАДКА'!AO362</f>
        <v>0</v>
      </c>
      <c r="L17" s="77">
        <f>'12-18л. РАСКЛАДКА'!AO413</f>
        <v>44</v>
      </c>
      <c r="M17" s="77">
        <f>'12-18л. РАСКЛАДКА'!AO466</f>
        <v>14</v>
      </c>
      <c r="N17" s="77">
        <f>'12-18л. РАСКЛАДКА'!AO521</f>
        <v>25</v>
      </c>
      <c r="O17" s="77">
        <f>'12-18л. РАСКЛАДКА'!AO575</f>
        <v>0</v>
      </c>
      <c r="P17" s="2228">
        <f>'12-18л. РАСКЛАДКА'!AO631</f>
        <v>20</v>
      </c>
      <c r="Q17" s="2251">
        <f t="shared" si="2"/>
        <v>168</v>
      </c>
      <c r="R17" s="2564">
        <f t="shared" si="0"/>
        <v>0</v>
      </c>
      <c r="S17" s="2243">
        <f t="shared" si="1"/>
        <v>168</v>
      </c>
      <c r="T17" s="2244">
        <v>20</v>
      </c>
      <c r="U17" s="3"/>
      <c r="Y17" s="927"/>
      <c r="Z17" s="13"/>
      <c r="AA17" s="1"/>
      <c r="AB17" s="928"/>
      <c r="AD17" s="941"/>
    </row>
    <row r="18" spans="2:34">
      <c r="B18" s="596">
        <v>10</v>
      </c>
      <c r="C18" s="238" t="s">
        <v>294</v>
      </c>
      <c r="D18" s="160">
        <v>140</v>
      </c>
      <c r="E18" s="853">
        <f>'12-18л. РАСКЛАДКА'!AO16</f>
        <v>0</v>
      </c>
      <c r="F18" s="77">
        <f>'12-18л. РАСКЛАДКА'!AO79</f>
        <v>0</v>
      </c>
      <c r="G18" s="77">
        <f>'12-18л. РАСКЛАДКА'!AO141</f>
        <v>200</v>
      </c>
      <c r="H18" s="77">
        <f>'12-18л. РАСКЛАДКА'!AO198</f>
        <v>0</v>
      </c>
      <c r="I18" s="77">
        <f>'12-18л. РАСКЛАДКА'!AO255</f>
        <v>200</v>
      </c>
      <c r="J18" s="77">
        <f>'12-18л. РАСКЛАДКА'!AO309</f>
        <v>200</v>
      </c>
      <c r="K18" s="77">
        <f>'12-18л. РАСКЛАДКА'!AO363</f>
        <v>200</v>
      </c>
      <c r="L18" s="77">
        <f>'12-18л. РАСКЛАДКА'!AO414</f>
        <v>200</v>
      </c>
      <c r="M18" s="77">
        <f>'12-18л. РАСКЛАДКА'!AO467</f>
        <v>280</v>
      </c>
      <c r="N18" s="77">
        <f>'12-18л. РАСКЛАДКА'!AO522</f>
        <v>200</v>
      </c>
      <c r="O18" s="77">
        <f>'12-18л. РАСКЛАДКА'!AO576</f>
        <v>0</v>
      </c>
      <c r="P18" s="2228">
        <f>'12-18л. РАСКЛАДКА'!AO632</f>
        <v>200</v>
      </c>
      <c r="Q18" s="2251">
        <f t="shared" si="2"/>
        <v>1680</v>
      </c>
      <c r="R18" s="2564">
        <f t="shared" si="0"/>
        <v>0</v>
      </c>
      <c r="S18" s="2243">
        <f t="shared" si="1"/>
        <v>1680</v>
      </c>
      <c r="T18" s="2244">
        <v>200</v>
      </c>
      <c r="U18" s="3"/>
      <c r="Y18" s="927"/>
      <c r="Z18" s="13"/>
      <c r="AA18" s="1"/>
      <c r="AB18" s="928"/>
      <c r="AD18" s="929"/>
    </row>
    <row r="19" spans="2:34">
      <c r="B19" s="596">
        <v>11</v>
      </c>
      <c r="C19" s="238" t="s">
        <v>139</v>
      </c>
      <c r="D19" s="160">
        <v>54.6</v>
      </c>
      <c r="E19" s="853">
        <f>'12-18л. РАСКЛАДКА'!AO17</f>
        <v>2.5</v>
      </c>
      <c r="F19" s="77">
        <f>'12-18л. РАСКЛАДКА'!AO80</f>
        <v>94.8</v>
      </c>
      <c r="G19" s="77">
        <f>'12-18л. РАСКЛАДКА'!AO142</f>
        <v>85.5</v>
      </c>
      <c r="H19" s="77">
        <f>'12-18л. РАСКЛАДКА'!AO199</f>
        <v>72.599999999999994</v>
      </c>
      <c r="I19" s="77">
        <f>'12-18л. РАСКЛАДКА'!AO256</f>
        <v>100.11</v>
      </c>
      <c r="J19" s="77">
        <f>'12-18л. РАСКЛАДКА'!AO310</f>
        <v>15.6</v>
      </c>
      <c r="K19" s="77">
        <f>'12-18л. РАСКЛАДКА'!AO364</f>
        <v>28.4</v>
      </c>
      <c r="L19" s="77">
        <f>'12-18л. РАСКЛАДКА'!AO415</f>
        <v>0</v>
      </c>
      <c r="M19" s="77">
        <f>'12-18л. РАСКЛАДКА'!AO468</f>
        <v>81.5</v>
      </c>
      <c r="N19" s="77">
        <f>'12-18л. РАСКЛАДКА'!AO523</f>
        <v>30.99</v>
      </c>
      <c r="O19" s="77">
        <f>'12-18л. РАСКЛАДКА'!AO577</f>
        <v>88.6</v>
      </c>
      <c r="P19" s="2228">
        <f>'12-18л. РАСКЛАДКА'!AO633</f>
        <v>54.6</v>
      </c>
      <c r="Q19" s="2251">
        <f t="shared" si="2"/>
        <v>655.20000000000005</v>
      </c>
      <c r="R19" s="2564">
        <f t="shared" si="0"/>
        <v>0</v>
      </c>
      <c r="S19" s="2243">
        <f t="shared" si="1"/>
        <v>655.20000000000005</v>
      </c>
      <c r="T19" s="2244">
        <v>78</v>
      </c>
      <c r="U19" s="3"/>
      <c r="Y19" s="927"/>
      <c r="Z19" s="13"/>
      <c r="AA19" s="1"/>
      <c r="AB19" s="928"/>
      <c r="AD19" s="929"/>
    </row>
    <row r="20" spans="2:34">
      <c r="B20" s="596">
        <v>12</v>
      </c>
      <c r="C20" s="238" t="s">
        <v>140</v>
      </c>
      <c r="D20" s="160">
        <v>37.1</v>
      </c>
      <c r="E20" s="853">
        <f>'12-18л. РАСКЛАДКА'!AO18</f>
        <v>0</v>
      </c>
      <c r="F20" s="77">
        <f>'12-18л. РАСКЛАДКА'!AO81</f>
        <v>59.34</v>
      </c>
      <c r="G20" s="77">
        <f>'12-18л. РАСКЛАДКА'!AO143</f>
        <v>0</v>
      </c>
      <c r="H20" s="77">
        <f>'12-18л. РАСКЛАДКА'!AO200</f>
        <v>0</v>
      </c>
      <c r="I20" s="77">
        <f>'12-18л. РАСКЛАДКА'!AO257</f>
        <v>58.72</v>
      </c>
      <c r="J20" s="77">
        <f>'12-18л. РАСКЛАДКА'!AO311</f>
        <v>13.1</v>
      </c>
      <c r="K20" s="77">
        <f>'12-18л. РАСКЛАДКА'!AO365</f>
        <v>105.75999999999999</v>
      </c>
      <c r="L20" s="77">
        <f>'12-18л. РАСКЛАДКА'!AO416</f>
        <v>2.5</v>
      </c>
      <c r="M20" s="77">
        <f>'12-18л. РАСКЛАДКА'!AO469</f>
        <v>0</v>
      </c>
      <c r="N20" s="77">
        <f>'12-18л. РАСКЛАДКА'!AO524</f>
        <v>100.18</v>
      </c>
      <c r="O20" s="77">
        <f>'12-18л. РАСКЛАДКА'!AO578</f>
        <v>0</v>
      </c>
      <c r="P20" s="2228">
        <f>'12-18л. РАСКЛАДКА'!AO634</f>
        <v>105.6</v>
      </c>
      <c r="Q20" s="2251">
        <f t="shared" si="2"/>
        <v>445.20000000000005</v>
      </c>
      <c r="R20" s="2564">
        <f t="shared" si="0"/>
        <v>0</v>
      </c>
      <c r="S20" s="2243">
        <f t="shared" si="1"/>
        <v>445.20000000000005</v>
      </c>
      <c r="T20" s="2244">
        <v>53</v>
      </c>
      <c r="U20" s="3"/>
      <c r="Y20" s="927"/>
      <c r="Z20" s="13"/>
      <c r="AA20" s="1"/>
      <c r="AB20" s="928"/>
      <c r="AD20" s="929"/>
    </row>
    <row r="21" spans="2:34" ht="12.75" customHeight="1">
      <c r="B21" s="596">
        <v>13</v>
      </c>
      <c r="C21" s="238" t="s">
        <v>53</v>
      </c>
      <c r="D21" s="160">
        <v>53.9</v>
      </c>
      <c r="E21" s="853">
        <f>'12-18л. РАСКЛАДКА'!AO19</f>
        <v>0</v>
      </c>
      <c r="F21" s="77">
        <f>'12-18л. РАСКЛАДКА'!AO82</f>
        <v>0</v>
      </c>
      <c r="G21" s="77">
        <f>'12-18л. РАСКЛАДКА'!AO144</f>
        <v>214.9</v>
      </c>
      <c r="H21" s="77">
        <f>'12-18л. РАСКЛАДКА'!AO201</f>
        <v>0</v>
      </c>
      <c r="I21" s="77">
        <f>'12-18л. РАСКЛАДКА'!AO258</f>
        <v>82.67</v>
      </c>
      <c r="J21" s="77">
        <f>'12-18л. РАСКЛАДКА'!AO312</f>
        <v>0</v>
      </c>
      <c r="K21" s="77">
        <f>'12-18л. РАСКЛАДКА'!AO366</f>
        <v>0</v>
      </c>
      <c r="L21" s="77">
        <f>'12-18л. РАСКЛАДКА'!AO417</f>
        <v>103.61</v>
      </c>
      <c r="M21" s="77">
        <f>'12-18л. РАСКЛАДКА'!AO470</f>
        <v>108.5</v>
      </c>
      <c r="N21" s="77">
        <f>'12-18л. РАСКЛАДКА'!AO525</f>
        <v>0</v>
      </c>
      <c r="O21" s="77">
        <f>'12-18л. РАСКЛАДКА'!AO579</f>
        <v>83.22</v>
      </c>
      <c r="P21" s="2228">
        <f>'12-18л. РАСКЛАДКА'!AO635</f>
        <v>53.9</v>
      </c>
      <c r="Q21" s="2251">
        <f t="shared" si="2"/>
        <v>646.79999999999995</v>
      </c>
      <c r="R21" s="2564">
        <f t="shared" si="0"/>
        <v>0</v>
      </c>
      <c r="S21" s="2243">
        <f t="shared" si="1"/>
        <v>646.79999999999995</v>
      </c>
      <c r="T21" s="2244">
        <v>77</v>
      </c>
      <c r="U21" s="3"/>
      <c r="Y21" s="927"/>
      <c r="Z21" s="13"/>
      <c r="AA21" s="1"/>
      <c r="AB21" s="928"/>
      <c r="AD21" s="929"/>
    </row>
    <row r="22" spans="2:34" ht="13.5" customHeight="1">
      <c r="B22" s="596">
        <v>14</v>
      </c>
      <c r="C22" s="238" t="s">
        <v>141</v>
      </c>
      <c r="D22" s="160">
        <v>28</v>
      </c>
      <c r="E22" s="853">
        <f>'12-18л. РАСКЛАДКА'!AO20</f>
        <v>88.8</v>
      </c>
      <c r="F22" s="77">
        <f>'12-18л. РАСКЛАДКА'!AO83</f>
        <v>0</v>
      </c>
      <c r="G22" s="77">
        <f>'12-18л. РАСКЛАДКА'!AO145</f>
        <v>0</v>
      </c>
      <c r="H22" s="77">
        <f>'12-18л. РАСКЛАДКА'!AO202</f>
        <v>0</v>
      </c>
      <c r="I22" s="77">
        <f>'12-18л. РАСКЛАДКА'!AO259</f>
        <v>0</v>
      </c>
      <c r="J22" s="77">
        <f>'12-18л. РАСКЛАДКА'!AO313</f>
        <v>79.2</v>
      </c>
      <c r="K22" s="77">
        <f>'12-18л. РАСКЛАДКА'!AO367</f>
        <v>0</v>
      </c>
      <c r="L22" s="77">
        <f>'12-18л. РАСКЛАДКА'!AO418</f>
        <v>168</v>
      </c>
      <c r="M22" s="77">
        <f>'12-18л. РАСКЛАДКА'!AO471</f>
        <v>0</v>
      </c>
      <c r="N22" s="77">
        <f>'12-18л. РАСКЛАДКА'!AO526</f>
        <v>0</v>
      </c>
      <c r="O22" s="77">
        <f>'12-18л. РАСКЛАДКА'!AO580</f>
        <v>0</v>
      </c>
      <c r="P22" s="2228">
        <f>'12-18л. РАСКЛАДКА'!AO636</f>
        <v>0</v>
      </c>
      <c r="Q22" s="2251">
        <f t="shared" si="2"/>
        <v>336</v>
      </c>
      <c r="R22" s="2564">
        <f t="shared" si="0"/>
        <v>0</v>
      </c>
      <c r="S22" s="2243">
        <f t="shared" si="1"/>
        <v>336</v>
      </c>
      <c r="T22" s="2244">
        <v>40</v>
      </c>
      <c r="U22" s="3"/>
      <c r="Y22" s="927"/>
      <c r="Z22" s="13"/>
      <c r="AA22" s="1"/>
      <c r="AB22" s="928"/>
      <c r="AD22" s="929"/>
    </row>
    <row r="23" spans="2:34" ht="12" customHeight="1">
      <c r="B23" s="596">
        <v>15</v>
      </c>
      <c r="C23" s="238" t="s">
        <v>295</v>
      </c>
      <c r="D23" s="160">
        <v>245</v>
      </c>
      <c r="E23" s="853">
        <f>'12-18л. РАСКЛАДКА'!AO21</f>
        <v>415.8</v>
      </c>
      <c r="F23" s="77">
        <f>'12-18л. РАСКЛАДКА'!AO84</f>
        <v>270</v>
      </c>
      <c r="G23" s="77">
        <f>'12-18л. РАСКЛАДКА'!AO146</f>
        <v>21.889999999999997</v>
      </c>
      <c r="H23" s="77">
        <f>'12-18л. РАСКЛАДКА'!AO203</f>
        <v>282.72000000000003</v>
      </c>
      <c r="I23" s="77">
        <f>'12-18л. РАСКЛАДКА'!AO260</f>
        <v>87.11</v>
      </c>
      <c r="J23" s="77">
        <f>'12-18л. РАСКЛАДКА'!AO314</f>
        <v>241</v>
      </c>
      <c r="K23" s="77">
        <f>'12-18л. РАСКЛАДКА'!AO368</f>
        <v>507.77</v>
      </c>
      <c r="L23" s="77">
        <f>'12-18л. РАСКЛАДКА'!AO419</f>
        <v>125.3</v>
      </c>
      <c r="M23" s="77">
        <f>'12-18л. РАСКЛАДКА'!AO472</f>
        <v>39.9</v>
      </c>
      <c r="N23" s="77">
        <f>'12-18л. РАСКЛАДКА'!AO527</f>
        <v>404.95</v>
      </c>
      <c r="O23" s="77">
        <f>'12-18л. РАСКЛАДКА'!AO581</f>
        <v>270.10000000000002</v>
      </c>
      <c r="P23" s="2228">
        <f>'12-18л. РАСКЛАДКА'!AO637</f>
        <v>273.45999999999998</v>
      </c>
      <c r="Q23" s="2251">
        <f t="shared" si="2"/>
        <v>2940</v>
      </c>
      <c r="R23" s="2564">
        <f t="shared" si="0"/>
        <v>0</v>
      </c>
      <c r="S23" s="2243">
        <f t="shared" si="1"/>
        <v>2940</v>
      </c>
      <c r="T23" s="2244">
        <v>350</v>
      </c>
      <c r="U23" s="3"/>
      <c r="Y23" s="927"/>
      <c r="Z23" s="13"/>
      <c r="AA23" s="1"/>
      <c r="AB23" s="928"/>
      <c r="AD23" s="2223"/>
    </row>
    <row r="24" spans="2:34" ht="14.25" customHeight="1">
      <c r="B24" s="596">
        <v>16</v>
      </c>
      <c r="C24" s="238" t="s">
        <v>296</v>
      </c>
      <c r="D24" s="160">
        <v>126</v>
      </c>
      <c r="E24" s="853">
        <f>'12-18л. РАСКЛАДКА'!AO22</f>
        <v>0</v>
      </c>
      <c r="F24" s="78">
        <f>'12-18л. РАСКЛАДКА'!AO85</f>
        <v>200</v>
      </c>
      <c r="G24" s="79">
        <f>'12-18л. РАСКЛАДКА'!AO147</f>
        <v>0</v>
      </c>
      <c r="H24" s="77">
        <f>'12-18л. РАСКЛАДКА'!AO204</f>
        <v>0</v>
      </c>
      <c r="I24" s="80">
        <f>'12-18л. РАСКЛАДКА'!AO261</f>
        <v>0</v>
      </c>
      <c r="J24" s="77">
        <f>'12-18л. РАСКЛАДКА'!AO315</f>
        <v>0</v>
      </c>
      <c r="K24" s="77">
        <f>'12-18л. РАСКЛАДКА'!AO369</f>
        <v>0</v>
      </c>
      <c r="L24" s="80">
        <f>'12-18л. РАСКЛАДКА'!AO420</f>
        <v>0</v>
      </c>
      <c r="M24" s="78">
        <f>'12-18л. РАСКЛАДКА'!AO473</f>
        <v>0</v>
      </c>
      <c r="N24" s="78">
        <f>'12-18л. РАСКЛАДКА'!AO528</f>
        <v>0</v>
      </c>
      <c r="O24" s="80">
        <f>'12-18л. РАСКЛАДКА'!AO582</f>
        <v>0</v>
      </c>
      <c r="P24" s="2228">
        <f>'12-18л. РАСКЛАДКА'!AO638</f>
        <v>0</v>
      </c>
      <c r="Q24" s="2251">
        <f t="shared" si="2"/>
        <v>200</v>
      </c>
      <c r="R24" s="2564">
        <f t="shared" si="0"/>
        <v>-86.772486772486772</v>
      </c>
      <c r="S24" s="2243">
        <f t="shared" si="1"/>
        <v>1512</v>
      </c>
      <c r="T24" s="2244">
        <v>180</v>
      </c>
      <c r="U24" s="3"/>
      <c r="Y24" s="927"/>
      <c r="Z24" s="13"/>
      <c r="AA24" s="1"/>
      <c r="AB24" s="928"/>
      <c r="AD24" s="939"/>
      <c r="AH24" s="176"/>
    </row>
    <row r="25" spans="2:34">
      <c r="B25" s="596">
        <v>17</v>
      </c>
      <c r="C25" s="238" t="s">
        <v>297</v>
      </c>
      <c r="D25" s="160">
        <v>42</v>
      </c>
      <c r="E25" s="853">
        <f>'12-18л. РАСКЛАДКА'!AO23</f>
        <v>0</v>
      </c>
      <c r="F25" s="78">
        <f>'12-18л. РАСКЛАДКА'!AO86</f>
        <v>0</v>
      </c>
      <c r="G25" s="79">
        <f>'12-18л. РАСКЛАДКА'!AO148</f>
        <v>0</v>
      </c>
      <c r="H25" s="77">
        <f>'12-18л. РАСКЛАДКА'!AO205</f>
        <v>240</v>
      </c>
      <c r="I25" s="80">
        <f>'12-18л. РАСКЛАДКА'!AO262</f>
        <v>126</v>
      </c>
      <c r="J25" s="77">
        <f>'12-18л. РАСКЛАДКА'!AO316</f>
        <v>0</v>
      </c>
      <c r="K25" s="77">
        <f>'12-18л. РАСКЛАДКА'!AO370</f>
        <v>0</v>
      </c>
      <c r="L25" s="80">
        <f>'12-18л. РАСКЛАДКА'!AO421</f>
        <v>0</v>
      </c>
      <c r="M25" s="78">
        <f>'12-18л. РАСКЛАДКА'!AO474</f>
        <v>0</v>
      </c>
      <c r="N25" s="78">
        <f>'12-18л. РАСКЛАДКА'!AO529</f>
        <v>126</v>
      </c>
      <c r="O25" s="80">
        <f>'12-18л. РАСКЛАДКА'!AO583</f>
        <v>0</v>
      </c>
      <c r="P25" s="2228">
        <f>'12-18л. РАСКЛАДКА'!AO639</f>
        <v>12</v>
      </c>
      <c r="Q25" s="2251">
        <f t="shared" si="2"/>
        <v>504</v>
      </c>
      <c r="R25" s="2564">
        <f t="shared" si="0"/>
        <v>0</v>
      </c>
      <c r="S25" s="2243">
        <f t="shared" si="1"/>
        <v>504</v>
      </c>
      <c r="T25" s="2244">
        <v>60</v>
      </c>
      <c r="U25" s="3"/>
      <c r="Y25" s="927"/>
      <c r="Z25" s="13"/>
      <c r="AA25" s="1"/>
      <c r="AB25" s="928"/>
      <c r="AD25" s="929"/>
    </row>
    <row r="26" spans="2:34">
      <c r="B26" s="596">
        <v>18</v>
      </c>
      <c r="C26" s="238" t="s">
        <v>54</v>
      </c>
      <c r="D26" s="160">
        <v>10.5</v>
      </c>
      <c r="E26" s="853">
        <f>'12-18л. РАСКЛАДКА'!AO24</f>
        <v>15</v>
      </c>
      <c r="F26" s="78">
        <f>'12-18л. РАСКЛАДКА'!AO87</f>
        <v>17.5</v>
      </c>
      <c r="G26" s="79">
        <f>'12-18л. РАСКЛАДКА'!AO149</f>
        <v>0</v>
      </c>
      <c r="H26" s="77">
        <f>'12-18л. РАСКЛАДКА'!AO206</f>
        <v>30</v>
      </c>
      <c r="I26" s="80">
        <f>'12-18л. РАСКЛАДКА'!AO263</f>
        <v>0</v>
      </c>
      <c r="J26" s="77">
        <f>'12-18л. РАСКЛАДКА'!AO317</f>
        <v>18</v>
      </c>
      <c r="K26" s="77">
        <f>'12-18л. РАСКЛАДКА'!AO371</f>
        <v>10</v>
      </c>
      <c r="L26" s="80">
        <f>'12-18л. РАСКЛАДКА'!AO422</f>
        <v>5</v>
      </c>
      <c r="M26" s="78">
        <f>'12-18л. РАСКЛАДКА'!AO475</f>
        <v>0</v>
      </c>
      <c r="N26" s="78">
        <f>'12-18л. РАСКЛАДКА'!AO530</f>
        <v>20</v>
      </c>
      <c r="O26" s="80">
        <f>'12-18л. РАСКЛАДКА'!AO584</f>
        <v>0</v>
      </c>
      <c r="P26" s="2228">
        <f>'12-18л. РАСКЛАДКА'!AO640</f>
        <v>10.5</v>
      </c>
      <c r="Q26" s="2251">
        <f t="shared" si="2"/>
        <v>126</v>
      </c>
      <c r="R26" s="2564">
        <f t="shared" si="0"/>
        <v>0</v>
      </c>
      <c r="S26" s="2243">
        <f t="shared" si="1"/>
        <v>126</v>
      </c>
      <c r="T26" s="2244">
        <v>15</v>
      </c>
      <c r="U26" s="3"/>
      <c r="Y26" s="927"/>
      <c r="Z26" s="13"/>
      <c r="AA26" s="1"/>
      <c r="AB26" s="928"/>
      <c r="AD26" s="929"/>
    </row>
    <row r="27" spans="2:34">
      <c r="B27" s="596">
        <v>19</v>
      </c>
      <c r="C27" s="238" t="s">
        <v>298</v>
      </c>
      <c r="D27" s="160">
        <v>7</v>
      </c>
      <c r="E27" s="853">
        <f>'12-18л. РАСКЛАДКА'!AO25</f>
        <v>6.8</v>
      </c>
      <c r="F27" s="78">
        <f>'12-18л. РАСКЛАДКА'!AO88</f>
        <v>0</v>
      </c>
      <c r="G27" s="79">
        <f>'12-18л. РАСКЛАДКА'!AO150</f>
        <v>1.35</v>
      </c>
      <c r="H27" s="77">
        <f>'12-18л. РАСКЛАДКА'!AO207</f>
        <v>14</v>
      </c>
      <c r="I27" s="80">
        <f>'12-18л. РАСКЛАДКА'!AO264</f>
        <v>17.5</v>
      </c>
      <c r="J27" s="77">
        <f>'12-18л. РАСКЛАДКА'!AO318</f>
        <v>6.6</v>
      </c>
      <c r="K27" s="77">
        <f>'12-18л. РАСКЛАДКА'!AO372</f>
        <v>8.1</v>
      </c>
      <c r="L27" s="80">
        <f>'12-18л. РАСКЛАДКА'!AO423</f>
        <v>4.75</v>
      </c>
      <c r="M27" s="78">
        <f>'12-18л. РАСКЛАДКА'!AO476</f>
        <v>2.2999999999999998</v>
      </c>
      <c r="N27" s="78">
        <f>'12-18л. РАСКЛАДКА'!AO531</f>
        <v>9.5500000000000007</v>
      </c>
      <c r="O27" s="80">
        <f>'12-18л. РАСКЛАДКА'!AO585</f>
        <v>5.55</v>
      </c>
      <c r="P27" s="2228">
        <f>'12-18л. РАСКЛАДКА'!AO641</f>
        <v>7.5</v>
      </c>
      <c r="Q27" s="2251">
        <f t="shared" si="2"/>
        <v>84</v>
      </c>
      <c r="R27" s="2564">
        <f t="shared" si="0"/>
        <v>0</v>
      </c>
      <c r="S27" s="2243">
        <f t="shared" si="1"/>
        <v>84</v>
      </c>
      <c r="T27" s="2244">
        <v>10</v>
      </c>
      <c r="U27" s="3"/>
      <c r="Y27" s="927"/>
      <c r="Z27" s="13"/>
      <c r="AA27" s="1"/>
      <c r="AB27" s="928"/>
      <c r="AD27" s="933"/>
    </row>
    <row r="28" spans="2:34">
      <c r="B28" s="596">
        <v>20</v>
      </c>
      <c r="C28" s="238" t="s">
        <v>55</v>
      </c>
      <c r="D28" s="160">
        <v>24.5</v>
      </c>
      <c r="E28" s="853">
        <f>'12-18л. РАСКЛАДКА'!AO26</f>
        <v>28.2</v>
      </c>
      <c r="F28" s="78">
        <f>'12-18л. РАСКЛАДКА'!AO89</f>
        <v>13.15</v>
      </c>
      <c r="G28" s="79">
        <f>'12-18л. РАСКЛАДКА'!AO151</f>
        <v>17.689999999999998</v>
      </c>
      <c r="H28" s="77">
        <f>'12-18л. РАСКЛАДКА'!AO208</f>
        <v>29</v>
      </c>
      <c r="I28" s="80">
        <f>'12-18л. РАСКЛАДКА'!AO265</f>
        <v>32.08</v>
      </c>
      <c r="J28" s="77">
        <f>'12-18л. РАСКЛАДКА'!AO319</f>
        <v>23.59</v>
      </c>
      <c r="K28" s="77">
        <f>'12-18л. РАСКЛАДКА'!AO373</f>
        <v>18.350000000000001</v>
      </c>
      <c r="L28" s="80">
        <f>'12-18л. РАСКЛАДКА'!AO424</f>
        <v>29.819999999999997</v>
      </c>
      <c r="M28" s="78">
        <f>'12-18л. РАСКЛАДКА'!AO477</f>
        <v>11.6</v>
      </c>
      <c r="N28" s="78">
        <f>'12-18л. РАСКЛАДКА'!AO532</f>
        <v>40.099999999999994</v>
      </c>
      <c r="O28" s="80">
        <f>'12-18л. РАСКЛАДКА'!AO586</f>
        <v>25.6</v>
      </c>
      <c r="P28" s="2228">
        <f>'12-18л. РАСКЛАДКА'!AO642</f>
        <v>24.82</v>
      </c>
      <c r="Q28" s="2251">
        <f t="shared" si="2"/>
        <v>293.99999999999994</v>
      </c>
      <c r="R28" s="2564">
        <f t="shared" si="0"/>
        <v>0</v>
      </c>
      <c r="S28" s="2243">
        <f t="shared" si="1"/>
        <v>294</v>
      </c>
      <c r="T28" s="2244">
        <v>35</v>
      </c>
      <c r="U28" s="3"/>
      <c r="Y28" s="927"/>
      <c r="Z28" s="13"/>
      <c r="AA28" s="1"/>
      <c r="AB28" s="928"/>
      <c r="AD28" s="929"/>
    </row>
    <row r="29" spans="2:34">
      <c r="B29" s="596">
        <v>21</v>
      </c>
      <c r="C29" s="238" t="s">
        <v>56</v>
      </c>
      <c r="D29" s="160">
        <v>12.6</v>
      </c>
      <c r="E29" s="853">
        <f>'12-18л. РАСКЛАДКА'!AO27</f>
        <v>7.2</v>
      </c>
      <c r="F29" s="78">
        <f>'12-18л. РАСКЛАДКА'!AO90</f>
        <v>17</v>
      </c>
      <c r="G29" s="79">
        <f>'12-18л. РАСКЛАДКА'!AO152</f>
        <v>19.260000000000002</v>
      </c>
      <c r="H29" s="77">
        <f>'12-18л. РАСКЛАДКА'!AO209</f>
        <v>7.2</v>
      </c>
      <c r="I29" s="80">
        <f>'12-18л. РАСКЛАДКА'!AO266</f>
        <v>11.7</v>
      </c>
      <c r="J29" s="77">
        <f>'12-18л. РАСКЛАДКА'!AO320</f>
        <v>5.6</v>
      </c>
      <c r="K29" s="77">
        <f>'12-18л. РАСКЛАДКА'!AO374</f>
        <v>10.740000000000002</v>
      </c>
      <c r="L29" s="80">
        <f>'12-18л. РАСКЛАДКА'!AO425</f>
        <v>18.54</v>
      </c>
      <c r="M29" s="78">
        <f>'12-18л. РАСКЛАДКА'!AO478</f>
        <v>23.8</v>
      </c>
      <c r="N29" s="78">
        <f>'12-18л. РАСКЛАДКА'!AO533</f>
        <v>5</v>
      </c>
      <c r="O29" s="80">
        <f>'12-18л. РАСКЛАДКА'!AO587</f>
        <v>7.4</v>
      </c>
      <c r="P29" s="2228">
        <f>'12-18л. РАСКЛАДКА'!AO643</f>
        <v>17.759999999999998</v>
      </c>
      <c r="Q29" s="2251">
        <f t="shared" si="2"/>
        <v>151.19999999999996</v>
      </c>
      <c r="R29" s="2564">
        <f t="shared" si="0"/>
        <v>0</v>
      </c>
      <c r="S29" s="2243">
        <f t="shared" si="1"/>
        <v>151.19999999999999</v>
      </c>
      <c r="T29" s="2244">
        <v>18</v>
      </c>
      <c r="U29" s="3"/>
      <c r="Y29" s="927"/>
      <c r="Z29" s="13"/>
      <c r="AA29" s="1"/>
      <c r="AB29" s="928"/>
      <c r="AD29" s="929"/>
    </row>
    <row r="30" spans="2:34" ht="12" customHeight="1">
      <c r="B30" s="596">
        <v>22</v>
      </c>
      <c r="C30" s="238" t="s">
        <v>299</v>
      </c>
      <c r="D30" s="160">
        <v>28</v>
      </c>
      <c r="E30" s="853">
        <f>'12-18л. РАСКЛАДКА'!AO28</f>
        <v>0</v>
      </c>
      <c r="F30" s="78">
        <f>'12-18л. РАСКЛАДКА'!AO91</f>
        <v>118.88</v>
      </c>
      <c r="G30" s="79">
        <f>'12-18л. РАСКЛАДКА'!AO153</f>
        <v>2.3199999999999998</v>
      </c>
      <c r="H30" s="77">
        <f>'12-18л. РАСКЛАДКА'!AO210</f>
        <v>14.04</v>
      </c>
      <c r="I30" s="80">
        <f>'12-18л. РАСКЛАДКА'!AO267</f>
        <v>13.319999999999999</v>
      </c>
      <c r="J30" s="77">
        <f>'12-18л. РАСКЛАДКА'!AO321</f>
        <v>4</v>
      </c>
      <c r="K30" s="77">
        <f>'12-18л. РАСКЛАДКА'!AO375</f>
        <v>120.30000000000001</v>
      </c>
      <c r="L30" s="80">
        <f>'12-18л. РАСКЛАДКА'!AO426</f>
        <v>9.68</v>
      </c>
      <c r="M30" s="78">
        <f>'12-18л. РАСКЛАДКА'!AO479</f>
        <v>4</v>
      </c>
      <c r="N30" s="78">
        <f>'12-18л. РАСКЛАДКА'!AO534</f>
        <v>14.92</v>
      </c>
      <c r="O30" s="80">
        <f>'12-18л. РАСКЛАДКА'!AO588</f>
        <v>2.94</v>
      </c>
      <c r="P30" s="2228">
        <f>'12-18л. РАСКЛАДКА'!AO644</f>
        <v>31.6</v>
      </c>
      <c r="Q30" s="2251">
        <f t="shared" si="2"/>
        <v>336.00000000000006</v>
      </c>
      <c r="R30" s="2564">
        <f t="shared" si="0"/>
        <v>0</v>
      </c>
      <c r="S30" s="2243">
        <f t="shared" si="1"/>
        <v>336</v>
      </c>
      <c r="T30" s="2244">
        <v>40</v>
      </c>
      <c r="U30" s="3"/>
      <c r="Y30" s="927"/>
      <c r="Z30" s="13"/>
      <c r="AA30" s="1"/>
      <c r="AB30" s="928"/>
      <c r="AD30" s="929"/>
    </row>
    <row r="31" spans="2:34" ht="13.5" customHeight="1">
      <c r="B31" s="596">
        <v>23</v>
      </c>
      <c r="C31" s="238" t="s">
        <v>57</v>
      </c>
      <c r="D31" s="160">
        <v>24.5</v>
      </c>
      <c r="E31" s="853">
        <f>'12-18л. РАСКЛАДКА'!AO29</f>
        <v>40.799999999999997</v>
      </c>
      <c r="F31" s="78">
        <f>'12-18л. РАСКЛАДКА'!AO92</f>
        <v>33.1</v>
      </c>
      <c r="G31" s="79">
        <f>'12-18л. РАСКЛАДКА'!AO154</f>
        <v>8.1999999999999993</v>
      </c>
      <c r="H31" s="77">
        <f>'12-18л. РАСКЛАДКА'!AO211</f>
        <v>46.3</v>
      </c>
      <c r="I31" s="80">
        <f>'12-18л. РАСКЛАДКА'!AO268</f>
        <v>19</v>
      </c>
      <c r="J31" s="77">
        <f>'12-18л. РАСКЛАДКА'!AO322</f>
        <v>17.5</v>
      </c>
      <c r="K31" s="77">
        <f>'12-18л. РАСКЛАДКА'!AO376</f>
        <v>8</v>
      </c>
      <c r="L31" s="80">
        <f>'12-18л. РАСКЛАДКА'!AO427</f>
        <v>18</v>
      </c>
      <c r="M31" s="78">
        <f>'12-18л. РАСКЛАДКА'!AO480</f>
        <v>32.1</v>
      </c>
      <c r="N31" s="78">
        <f>'12-18л. РАСКЛАДКА'!AO535</f>
        <v>17.7</v>
      </c>
      <c r="O31" s="80">
        <f>'12-18л. РАСКЛАДКА'!AO589</f>
        <v>27.5</v>
      </c>
      <c r="P31" s="2228">
        <f>'12-18л. РАСКЛАДКА'!AO645</f>
        <v>25.799999999999997</v>
      </c>
      <c r="Q31" s="2245">
        <f t="shared" si="2"/>
        <v>294</v>
      </c>
      <c r="R31" s="2564">
        <f>(Q31*100/S31)-100</f>
        <v>0</v>
      </c>
      <c r="S31" s="2243">
        <f t="shared" si="1"/>
        <v>294</v>
      </c>
      <c r="T31" s="2244">
        <v>35</v>
      </c>
      <c r="U31" s="1030"/>
      <c r="Y31" s="927"/>
      <c r="Z31" s="13"/>
      <c r="AA31" s="1"/>
      <c r="AB31" s="928"/>
      <c r="AD31" s="929"/>
    </row>
    <row r="32" spans="2:34" ht="12.75" customHeight="1">
      <c r="B32" s="596">
        <v>24</v>
      </c>
      <c r="C32" s="238" t="s">
        <v>58</v>
      </c>
      <c r="D32" s="160">
        <v>10.5</v>
      </c>
      <c r="E32" s="853">
        <f>'12-18л. РАСКЛАДКА'!AO30</f>
        <v>45</v>
      </c>
      <c r="F32" s="78">
        <f>'12-18л. РАСКЛАДКА'!AO93</f>
        <v>0</v>
      </c>
      <c r="G32" s="79">
        <f>'12-18л. РАСКЛАДКА'!AO155</f>
        <v>21</v>
      </c>
      <c r="H32" s="77">
        <f>'12-18л. РАСКЛАДКА'!AO212</f>
        <v>0</v>
      </c>
      <c r="I32" s="80">
        <f>'12-18л. РАСКЛАДКА'!AO269</f>
        <v>0</v>
      </c>
      <c r="J32" s="77">
        <f>'12-18л. РАСКЛАДКА'!AO323</f>
        <v>0</v>
      </c>
      <c r="K32" s="77">
        <f>'12-18л. РАСКЛАДКА'!AO377</f>
        <v>0</v>
      </c>
      <c r="L32" s="80">
        <f>'12-18л. РАСКЛАДКА'!AO428</f>
        <v>0</v>
      </c>
      <c r="M32" s="78">
        <f>'12-18л. РАСКЛАДКА'!AO481</f>
        <v>0</v>
      </c>
      <c r="N32" s="78">
        <f>'12-18л. РАСКЛАДКА'!AO536</f>
        <v>60</v>
      </c>
      <c r="O32" s="80">
        <f>'12-18л. РАСКЛАДКА'!AO590</f>
        <v>0</v>
      </c>
      <c r="P32" s="2228">
        <f>'12-18л. РАСКЛАДКА'!AO646</f>
        <v>0</v>
      </c>
      <c r="Q32" s="2251">
        <f t="shared" si="2"/>
        <v>126</v>
      </c>
      <c r="R32" s="2564">
        <f t="shared" si="0"/>
        <v>0</v>
      </c>
      <c r="S32" s="2243">
        <f t="shared" si="1"/>
        <v>126</v>
      </c>
      <c r="T32" s="2244">
        <v>15</v>
      </c>
      <c r="U32" s="3"/>
      <c r="Y32" s="927"/>
      <c r="Z32" s="13"/>
      <c r="AA32" s="1"/>
      <c r="AB32" s="928"/>
      <c r="AD32" s="929"/>
    </row>
    <row r="33" spans="2:34" ht="12" customHeight="1">
      <c r="B33" s="596">
        <v>25</v>
      </c>
      <c r="C33" s="238" t="s">
        <v>59</v>
      </c>
      <c r="D33" s="160">
        <v>1.4</v>
      </c>
      <c r="E33" s="853">
        <f>'12-18л. РАСКЛАДКА'!AO31</f>
        <v>2</v>
      </c>
      <c r="F33" s="78">
        <f>'12-18л. РАСКЛАДКА'!AO94</f>
        <v>0</v>
      </c>
      <c r="G33" s="79">
        <f>'12-18л. РАСКЛАДКА'!AO156</f>
        <v>1</v>
      </c>
      <c r="H33" s="77">
        <f>'12-18л. РАСКЛАДКА'!AO213</f>
        <v>2</v>
      </c>
      <c r="I33" s="80">
        <f>'12-18л. РАСКЛАДКА'!AO270</f>
        <v>1</v>
      </c>
      <c r="J33" s="77">
        <f>'12-18л. РАСКЛАДКА'!AO324</f>
        <v>1</v>
      </c>
      <c r="K33" s="77">
        <f>'12-18л. РАСКЛАДКА'!AO378</f>
        <v>0</v>
      </c>
      <c r="L33" s="80">
        <f>'12-18л. РАСКЛАДКА'!AO429</f>
        <v>0</v>
      </c>
      <c r="M33" s="78">
        <f>'12-18л. РАСКЛАДКА'!AO482</f>
        <v>1</v>
      </c>
      <c r="N33" s="78">
        <f>'12-18л. РАСКЛАДКА'!AO537</f>
        <v>0</v>
      </c>
      <c r="O33" s="80">
        <f>'12-18л. РАСКЛАДКА'!AO591</f>
        <v>2</v>
      </c>
      <c r="P33" s="2228">
        <f>'12-18л. РАСКЛАДКА'!AO647</f>
        <v>0</v>
      </c>
      <c r="Q33" s="2248">
        <f t="shared" si="2"/>
        <v>10</v>
      </c>
      <c r="R33" s="2564">
        <f t="shared" si="0"/>
        <v>-40.476190476190467</v>
      </c>
      <c r="S33" s="2243">
        <f t="shared" si="1"/>
        <v>16.799999999999997</v>
      </c>
      <c r="T33" s="2244">
        <v>2</v>
      </c>
      <c r="U33" s="3"/>
      <c r="Y33" s="927"/>
      <c r="Z33" s="13"/>
      <c r="AA33" s="1"/>
      <c r="AB33" s="928"/>
      <c r="AD33" s="939"/>
      <c r="AH33" s="176"/>
    </row>
    <row r="34" spans="2:34" ht="15.75" customHeight="1">
      <c r="B34" s="596">
        <v>26</v>
      </c>
      <c r="C34" s="238" t="s">
        <v>300</v>
      </c>
      <c r="D34" s="160">
        <v>0.84</v>
      </c>
      <c r="E34" s="853">
        <f>'12-18л. РАСКЛАДКА'!AO32</f>
        <v>2.7</v>
      </c>
      <c r="F34" s="78">
        <f>'12-18л. РАСКЛАДКА'!AO95</f>
        <v>0</v>
      </c>
      <c r="G34" s="79">
        <f>'12-18л. РАСКЛАДКА'!AO157</f>
        <v>0</v>
      </c>
      <c r="H34" s="77">
        <f>'12-18л. РАСКЛАДКА'!AO214</f>
        <v>2.7</v>
      </c>
      <c r="I34" s="80">
        <f>'12-18л. РАСКЛАДКА'!AO271</f>
        <v>0</v>
      </c>
      <c r="J34" s="77">
        <f>'12-18л. РАСКЛАДКА'!AO325</f>
        <v>0</v>
      </c>
      <c r="K34" s="77">
        <f>'12-18л. РАСКЛАДКА'!AO379</f>
        <v>0</v>
      </c>
      <c r="L34" s="80">
        <f>'12-18л. РАСКЛАДКА'!AO430</f>
        <v>0</v>
      </c>
      <c r="M34" s="78">
        <f>'12-18л. РАСКЛАДКА'!AO483</f>
        <v>0</v>
      </c>
      <c r="N34" s="78">
        <f>'12-18л. РАСКЛАДКА'!AO538</f>
        <v>3.24</v>
      </c>
      <c r="O34" s="80">
        <f>'12-18л. РАСКЛАДКА'!AO592</f>
        <v>0</v>
      </c>
      <c r="P34" s="2228">
        <f>'12-18л. РАСКЛАДКА'!AO648</f>
        <v>1.44</v>
      </c>
      <c r="Q34" s="2245">
        <f t="shared" si="2"/>
        <v>10.08</v>
      </c>
      <c r="R34" s="2564">
        <f t="shared" si="0"/>
        <v>0</v>
      </c>
      <c r="S34" s="2243">
        <f t="shared" si="1"/>
        <v>10.08</v>
      </c>
      <c r="T34" s="2244">
        <v>1.2</v>
      </c>
      <c r="U34" s="3"/>
      <c r="Y34" s="927"/>
      <c r="Z34" s="13"/>
      <c r="AA34" s="1"/>
      <c r="AB34" s="928"/>
      <c r="AD34" s="941"/>
    </row>
    <row r="35" spans="2:34" ht="12" customHeight="1">
      <c r="B35" s="596">
        <v>27</v>
      </c>
      <c r="C35" s="238" t="s">
        <v>142</v>
      </c>
      <c r="D35" s="160">
        <v>1.4</v>
      </c>
      <c r="E35" s="853">
        <f>'12-18л. РАСКЛАДКА'!AO33</f>
        <v>0</v>
      </c>
      <c r="F35" s="78">
        <f>'12-18л. РАСКЛАДКА'!AO96</f>
        <v>4.2</v>
      </c>
      <c r="G35" s="79">
        <f>'12-18л. РАСКЛАДКА'!AO158</f>
        <v>0</v>
      </c>
      <c r="H35" s="77">
        <f>'12-18л. РАСКЛАДКА'!AO215</f>
        <v>0</v>
      </c>
      <c r="I35" s="80">
        <f>'12-18л. РАСКЛАДКА'!AO272</f>
        <v>0</v>
      </c>
      <c r="J35" s="77">
        <f>'12-18л. РАСКЛАДКА'!AO326</f>
        <v>0</v>
      </c>
      <c r="K35" s="77">
        <f>'12-18л. РАСКЛАДКА'!AO380</f>
        <v>8.4</v>
      </c>
      <c r="L35" s="80">
        <f>'12-18л. РАСКЛАДКА'!AO431</f>
        <v>0</v>
      </c>
      <c r="M35" s="78">
        <f>'12-18л. РАСКЛАДКА'!AO484</f>
        <v>0</v>
      </c>
      <c r="N35" s="78">
        <f>'12-18л. РАСКЛАДКА'!AO539</f>
        <v>0</v>
      </c>
      <c r="O35" s="80">
        <f>'12-18л. РАСКЛАДКА'!AO593</f>
        <v>4.2</v>
      </c>
      <c r="P35" s="2228">
        <f>'12-18л. РАСКЛАДКА'!AO649</f>
        <v>0</v>
      </c>
      <c r="Q35" s="2251">
        <f t="shared" si="2"/>
        <v>16.8</v>
      </c>
      <c r="R35" s="2564">
        <f t="shared" si="0"/>
        <v>0</v>
      </c>
      <c r="S35" s="2243">
        <f t="shared" si="1"/>
        <v>16.799999999999997</v>
      </c>
      <c r="T35" s="2244">
        <v>2</v>
      </c>
      <c r="U35" s="3"/>
      <c r="Y35" s="927"/>
      <c r="Z35" s="13"/>
      <c r="AA35" s="1"/>
      <c r="AB35" s="928"/>
      <c r="AD35" s="941"/>
    </row>
    <row r="36" spans="2:34" ht="11.25" customHeight="1">
      <c r="B36" s="596">
        <v>28</v>
      </c>
      <c r="C36" s="238" t="s">
        <v>60</v>
      </c>
      <c r="D36" s="160">
        <v>0.21</v>
      </c>
      <c r="E36" s="853">
        <f>'12-18л. РАСКЛАДКА'!AO34</f>
        <v>0</v>
      </c>
      <c r="F36" s="78">
        <f>'12-18л. РАСКЛАДКА'!AO97</f>
        <v>0</v>
      </c>
      <c r="G36" s="79">
        <f>'12-18л. РАСКЛАДКА'!AO159</f>
        <v>0</v>
      </c>
      <c r="H36" s="77">
        <f>'12-18л. РАСКЛАДКА'!AO216</f>
        <v>0</v>
      </c>
      <c r="I36" s="80">
        <f>'12-18л. РАСКЛАДКА'!AO273</f>
        <v>0</v>
      </c>
      <c r="J36" s="77">
        <f>'12-18л. РАСКЛАДКА'!AO327</f>
        <v>0</v>
      </c>
      <c r="K36" s="77">
        <f>'12-18л. РАСКЛАДКА'!AO381</f>
        <v>0</v>
      </c>
      <c r="L36" s="80">
        <f>'12-18л. РАСКЛАДКА'!AO432</f>
        <v>0</v>
      </c>
      <c r="M36" s="78">
        <f>'12-18л. РАСКЛАДКА'!AO485</f>
        <v>0</v>
      </c>
      <c r="N36" s="78">
        <f>'12-18л. РАСКЛАДКА'!AO540</f>
        <v>0</v>
      </c>
      <c r="O36" s="80">
        <f>'12-18л. РАСКЛАДКА'!AO594</f>
        <v>0</v>
      </c>
      <c r="P36" s="2228">
        <f>'12-18л. РАСКЛАДКА'!AO650</f>
        <v>0</v>
      </c>
      <c r="Q36" s="2251">
        <f t="shared" si="2"/>
        <v>0</v>
      </c>
      <c r="R36" s="2564">
        <f t="shared" si="0"/>
        <v>-100</v>
      </c>
      <c r="S36" s="2243">
        <f t="shared" si="1"/>
        <v>2.52</v>
      </c>
      <c r="T36" s="2244">
        <v>0.3</v>
      </c>
      <c r="U36" s="3"/>
      <c r="Y36" s="927"/>
      <c r="Z36" s="13"/>
      <c r="AA36" s="1"/>
      <c r="AB36" s="928"/>
      <c r="AD36" s="2226"/>
    </row>
    <row r="37" spans="2:34" ht="12.75" customHeight="1">
      <c r="B37" s="596">
        <v>29</v>
      </c>
      <c r="C37" s="641" t="s">
        <v>301</v>
      </c>
      <c r="D37" s="160">
        <v>3.5</v>
      </c>
      <c r="E37" s="853">
        <f>'12-18л. РАСКЛАДКА'!AO35</f>
        <v>2.7</v>
      </c>
      <c r="F37" s="78">
        <f>'12-18л. РАСКЛАДКА'!AO98</f>
        <v>3.55</v>
      </c>
      <c r="G37" s="79">
        <f>'12-18л. РАСКЛАДКА'!AO160</f>
        <v>4.2</v>
      </c>
      <c r="H37" s="77">
        <f>'12-18л. РАСКЛАДКА'!AO217</f>
        <v>1.1000000000000001</v>
      </c>
      <c r="I37" s="80">
        <f>'12-18л. РАСКЛАДКА'!AO274</f>
        <v>5.6</v>
      </c>
      <c r="J37" s="77">
        <f>'12-18л. РАСКЛАДКА'!AO328</f>
        <v>3.15</v>
      </c>
      <c r="K37" s="77">
        <f>'12-18л. РАСКЛАДКА'!AO382</f>
        <v>2.35</v>
      </c>
      <c r="L37" s="80">
        <f>'12-18л. РАСКЛАДКА'!AO433</f>
        <v>3.93</v>
      </c>
      <c r="M37" s="78">
        <f>'12-18л. РАСКЛАДКА'!AO486</f>
        <v>3.2</v>
      </c>
      <c r="N37" s="78">
        <f>'12-18л. РАСКЛАДКА'!AO541</f>
        <v>3.55</v>
      </c>
      <c r="O37" s="80">
        <f>'12-18л. РАСКЛАДКА'!AO595</f>
        <v>4.34</v>
      </c>
      <c r="P37" s="2228">
        <f>'12-18л. РАСКЛАДКА'!AO651</f>
        <v>4.33</v>
      </c>
      <c r="Q37" s="2251">
        <f t="shared" si="2"/>
        <v>42</v>
      </c>
      <c r="R37" s="2564">
        <f t="shared" si="0"/>
        <v>0</v>
      </c>
      <c r="S37" s="2243">
        <f t="shared" si="1"/>
        <v>42</v>
      </c>
      <c r="T37" s="2244">
        <v>5</v>
      </c>
      <c r="U37" s="3"/>
      <c r="Y37" s="927"/>
      <c r="Z37" s="13"/>
      <c r="AA37" s="1"/>
      <c r="AB37" s="928"/>
      <c r="AD37" s="929"/>
    </row>
    <row r="38" spans="2:34" ht="13.5" customHeight="1">
      <c r="B38" s="596">
        <v>30</v>
      </c>
      <c r="C38" s="238" t="s">
        <v>143</v>
      </c>
      <c r="D38" s="160">
        <v>2.8</v>
      </c>
      <c r="E38" s="853">
        <f>'12-18л. РАСКЛАДКА'!AO36</f>
        <v>0</v>
      </c>
      <c r="F38" s="78">
        <f>'12-18л. РАСКЛАДКА'!AO99</f>
        <v>0</v>
      </c>
      <c r="G38" s="79">
        <f>'12-18л. РАСКЛАДКА'!AO161</f>
        <v>0</v>
      </c>
      <c r="H38" s="77">
        <f>'12-18л. РАСКЛАДКА'!AO218</f>
        <v>0</v>
      </c>
      <c r="I38" s="80">
        <f>'12-18л. РАСКЛАДКА'!AO275</f>
        <v>14.4</v>
      </c>
      <c r="J38" s="77">
        <f>'12-18л. РАСКЛАДКА'!AO329</f>
        <v>0</v>
      </c>
      <c r="K38" s="77">
        <f>'12-18л. РАСКЛАДКА'!AO383</f>
        <v>0</v>
      </c>
      <c r="L38" s="80">
        <f>'12-18л. РАСКЛАДКА'!AO434</f>
        <v>4.8</v>
      </c>
      <c r="M38" s="78">
        <f>'12-18л. РАСКЛАДКА'!AO487</f>
        <v>10</v>
      </c>
      <c r="N38" s="78">
        <f>'12-18л. РАСКЛАДКА'!AO542</f>
        <v>4.4000000000000004</v>
      </c>
      <c r="O38" s="80">
        <f>'12-18л. РАСКЛАДКА'!AO596</f>
        <v>0</v>
      </c>
      <c r="P38" s="2228">
        <f>'12-18л. РАСКЛАДКА'!AO652</f>
        <v>0</v>
      </c>
      <c r="Q38" s="2245">
        <f t="shared" si="2"/>
        <v>33.6</v>
      </c>
      <c r="R38" s="2564">
        <f t="shared" si="0"/>
        <v>0</v>
      </c>
      <c r="S38" s="2243">
        <f t="shared" si="1"/>
        <v>33.599999999999994</v>
      </c>
      <c r="T38" s="2244">
        <v>4</v>
      </c>
      <c r="U38" s="1030"/>
      <c r="Y38" s="927"/>
      <c r="Z38" s="13"/>
      <c r="AA38" s="1"/>
      <c r="AB38" s="928"/>
      <c r="AD38" s="939"/>
    </row>
    <row r="39" spans="2:34" ht="14.25" customHeight="1">
      <c r="B39" s="596">
        <v>31</v>
      </c>
      <c r="C39" s="238" t="s">
        <v>144</v>
      </c>
      <c r="D39" s="160">
        <v>1.4</v>
      </c>
      <c r="E39" s="853">
        <f>'12-18л. РАСКЛАДКА'!AO37</f>
        <v>1.1112000000000002</v>
      </c>
      <c r="F39" s="78">
        <f>'12-18л. РАСКЛАДКА'!AO100</f>
        <v>2.0114999999999998</v>
      </c>
      <c r="G39" s="79">
        <f>'12-18л. РАСКЛАДКА'!AO162</f>
        <v>1.591</v>
      </c>
      <c r="H39" s="77">
        <f>'12-18л. РАСКЛАДКА'!AO219</f>
        <v>1.0289999999999999</v>
      </c>
      <c r="I39" s="80">
        <f>'12-18л. РАСКЛАДКА'!AO276</f>
        <v>1.58572</v>
      </c>
      <c r="J39" s="77">
        <f>'12-18л. РАСКЛАДКА'!AO330</f>
        <v>0.40956000000000004</v>
      </c>
      <c r="K39" s="77">
        <f>'12-18л. РАСКЛАДКА'!AO384</f>
        <v>2.3150000000000004E-2</v>
      </c>
      <c r="L39" s="80">
        <f>'12-18л. РАСКЛАДКА'!AO435</f>
        <v>0.41145000000000004</v>
      </c>
      <c r="M39" s="78">
        <f>'12-18л. РАСКЛАДКА'!AO488</f>
        <v>1.3728</v>
      </c>
      <c r="N39" s="78">
        <f>'12-18л. РАСКЛАДКА'!AO543</f>
        <v>0.79224000000000006</v>
      </c>
      <c r="O39" s="80">
        <f>'12-18л. РАСКЛАДКА'!AO597</f>
        <v>3.7579799999999999</v>
      </c>
      <c r="P39" s="2228">
        <f>'12-18л. РАСКЛАДКА'!AO653</f>
        <v>2.7044000000000001</v>
      </c>
      <c r="Q39" s="2248">
        <f t="shared" si="2"/>
        <v>16.8</v>
      </c>
      <c r="R39" s="2564">
        <f t="shared" si="0"/>
        <v>0</v>
      </c>
      <c r="S39" s="2243">
        <f t="shared" si="1"/>
        <v>16.799999999999997</v>
      </c>
      <c r="T39" s="2244">
        <v>2</v>
      </c>
      <c r="U39" s="3"/>
      <c r="Y39" s="927"/>
      <c r="Z39" s="13"/>
      <c r="AA39" s="1"/>
      <c r="AB39" s="928"/>
      <c r="AD39" s="2233"/>
    </row>
    <row r="40" spans="2:34" ht="15" customHeight="1">
      <c r="B40" s="596">
        <v>32</v>
      </c>
      <c r="C40" s="238" t="s">
        <v>62</v>
      </c>
      <c r="D40" s="160">
        <v>63</v>
      </c>
      <c r="E40" s="182">
        <f>'12-18л. МЕНЮ  '!E108</f>
        <v>65.260600000000011</v>
      </c>
      <c r="F40" s="108">
        <f>'12-18л. МЕНЮ  '!E161</f>
        <v>61.536999999999992</v>
      </c>
      <c r="G40" s="108">
        <f>'12-18л. МЕНЮ  '!E219</f>
        <v>64.013300000000001</v>
      </c>
      <c r="H40" s="108">
        <f>'12-18л. МЕНЮ  '!E271</f>
        <v>64.876000000000005</v>
      </c>
      <c r="I40" s="108">
        <f>'12-18л. МЕНЮ  '!E326</f>
        <v>62.77600000000001</v>
      </c>
      <c r="J40" s="108">
        <f>'12-18л. МЕНЮ  '!E381</f>
        <v>59.537099999999995</v>
      </c>
      <c r="K40" s="108">
        <f>'12-18л. МЕНЮ  '!E494</f>
        <v>65.442000000000007</v>
      </c>
      <c r="L40" s="108">
        <f>'12-18л. МЕНЮ  '!E549</f>
        <v>62.072000000000003</v>
      </c>
      <c r="M40" s="108">
        <f>'12-18л. МЕНЮ  '!E603</f>
        <v>60.475699999999996</v>
      </c>
      <c r="N40" s="108">
        <f>'12-18л. МЕНЮ  '!E658</f>
        <v>60.984000000000002</v>
      </c>
      <c r="O40" s="108">
        <f>'12-18л. МЕНЮ  '!E711</f>
        <v>60.472049999999996</v>
      </c>
      <c r="P40" s="2228">
        <f>'12-18л. МЕНЮ  '!E768</f>
        <v>68.554249999999996</v>
      </c>
      <c r="Q40" s="2248">
        <f t="shared" si="2"/>
        <v>756</v>
      </c>
      <c r="R40" s="2564">
        <f t="shared" si="0"/>
        <v>0</v>
      </c>
      <c r="S40" s="2243">
        <f t="shared" si="1"/>
        <v>756</v>
      </c>
      <c r="T40" s="2244">
        <v>90</v>
      </c>
      <c r="U40" s="3"/>
      <c r="Y40" s="945"/>
      <c r="Z40" s="13"/>
      <c r="AA40" s="1"/>
      <c r="AB40" s="928"/>
      <c r="AD40" s="929"/>
    </row>
    <row r="41" spans="2:34" ht="12.75" customHeight="1">
      <c r="B41" s="596">
        <v>33</v>
      </c>
      <c r="C41" s="238" t="s">
        <v>63</v>
      </c>
      <c r="D41" s="160">
        <v>64.400000000000006</v>
      </c>
      <c r="E41" s="182">
        <f>'12-18л. МЕНЮ  '!F108</f>
        <v>64.763000000000005</v>
      </c>
      <c r="F41" s="108">
        <f>'12-18л. МЕНЮ  '!F161</f>
        <v>64.12</v>
      </c>
      <c r="G41" s="108">
        <f>'12-18л. МЕНЮ  '!F219</f>
        <v>65.482300000000009</v>
      </c>
      <c r="H41" s="108">
        <f>'12-18л. МЕНЮ  '!F271</f>
        <v>64.460000000000008</v>
      </c>
      <c r="I41" s="108">
        <f>'12-18л. МЕНЮ  '!F326</f>
        <v>64.497</v>
      </c>
      <c r="J41" s="108">
        <f>'12-18л. МЕНЮ  '!F381</f>
        <v>63.077999999999996</v>
      </c>
      <c r="K41" s="108">
        <f>'12-18л. МЕНЮ  '!F494</f>
        <v>65.506999999999991</v>
      </c>
      <c r="L41" s="108">
        <f>'12-18л. МЕНЮ  '!F549</f>
        <v>65.388000000000005</v>
      </c>
      <c r="M41" s="108">
        <f>'12-18л. МЕНЮ  '!F603</f>
        <v>61.921999999999997</v>
      </c>
      <c r="N41" s="108">
        <f>'12-18л. МЕНЮ  '!F658</f>
        <v>64.684000000000012</v>
      </c>
      <c r="O41" s="108">
        <f>'12-18л. МЕНЮ  '!F711</f>
        <v>65.736999999999995</v>
      </c>
      <c r="P41" s="1508">
        <f>'12-18л. МЕНЮ  '!F768</f>
        <v>63.161999999999999</v>
      </c>
      <c r="Q41" s="2248">
        <f t="shared" si="2"/>
        <v>772.80029999999999</v>
      </c>
      <c r="R41" s="2564">
        <f t="shared" si="0"/>
        <v>3.8819875769036116E-5</v>
      </c>
      <c r="S41" s="2243">
        <f t="shared" si="1"/>
        <v>772.80000000000007</v>
      </c>
      <c r="T41" s="2244">
        <v>92</v>
      </c>
      <c r="U41" s="3"/>
      <c r="Y41" s="945"/>
      <c r="Z41" s="13"/>
      <c r="AA41" s="1"/>
      <c r="AB41" s="928"/>
      <c r="AD41" s="929"/>
    </row>
    <row r="42" spans="2:34" ht="12.75" customHeight="1">
      <c r="B42" s="596">
        <v>34</v>
      </c>
      <c r="C42" s="238" t="s">
        <v>64</v>
      </c>
      <c r="D42" s="160">
        <v>268.10000000000002</v>
      </c>
      <c r="E42" s="158">
        <f>'12-18л. МЕНЮ  '!G108</f>
        <v>268.29140000000001</v>
      </c>
      <c r="F42" s="108">
        <f>'12-18л. МЕНЮ  '!G161</f>
        <v>269.91699999999997</v>
      </c>
      <c r="G42" s="108">
        <f>'12-18л. МЕНЮ  '!G219</f>
        <v>268.37599999999998</v>
      </c>
      <c r="H42" s="108">
        <f>'12-18л. МЕНЮ  '!G271</f>
        <v>264.45760000000001</v>
      </c>
      <c r="I42" s="108">
        <f>'12-18л. МЕНЮ  '!G326</f>
        <v>271.49599999999998</v>
      </c>
      <c r="J42" s="108">
        <f>'12-18л. МЕНЮ  '!G381</f>
        <v>266.06200000000001</v>
      </c>
      <c r="K42" s="108">
        <f>'12-18л. МЕНЮ  '!G494</f>
        <v>257.69800000000004</v>
      </c>
      <c r="L42" s="108">
        <f>'12-18л. МЕНЮ  '!G549</f>
        <v>267.38600000000002</v>
      </c>
      <c r="M42" s="108">
        <f>'12-18л. МЕНЮ  '!G603</f>
        <v>273.74299999999999</v>
      </c>
      <c r="N42" s="108">
        <f>'12-18л. МЕНЮ  '!G658</f>
        <v>268.43299999999999</v>
      </c>
      <c r="O42" s="108">
        <f>'12-18л. МЕНЮ  '!G711</f>
        <v>265.49199999999996</v>
      </c>
      <c r="P42" s="1508">
        <f>'12-18л. МЕНЮ  '!G768</f>
        <v>275.84800000000001</v>
      </c>
      <c r="Q42" s="2254">
        <f t="shared" si="2"/>
        <v>3217.2</v>
      </c>
      <c r="R42" s="2564">
        <f t="shared" si="0"/>
        <v>0</v>
      </c>
      <c r="S42" s="2243">
        <f t="shared" si="1"/>
        <v>3217.2000000000003</v>
      </c>
      <c r="T42" s="2256">
        <v>383</v>
      </c>
      <c r="U42" s="3"/>
      <c r="Y42" s="945"/>
      <c r="Z42" s="13"/>
      <c r="AA42" s="1"/>
      <c r="AB42" s="928"/>
      <c r="AD42" s="929"/>
    </row>
    <row r="43" spans="2:34" ht="13.5" customHeight="1" thickBot="1">
      <c r="B43" s="642">
        <v>35</v>
      </c>
      <c r="C43" s="643" t="s">
        <v>65</v>
      </c>
      <c r="D43" s="161">
        <v>1904</v>
      </c>
      <c r="E43" s="159">
        <f>'12-18л. МЕНЮ  '!H108</f>
        <v>1902.5440000000003</v>
      </c>
      <c r="F43" s="112">
        <f>'12-18л. МЕНЮ  '!H161</f>
        <v>1907.29</v>
      </c>
      <c r="G43" s="112">
        <f>'12-18л. МЕНЮ  '!H219</f>
        <v>1905.0784000000001</v>
      </c>
      <c r="H43" s="112">
        <f>'12-18л. МЕНЮ  '!H271</f>
        <v>1901.5138000000002</v>
      </c>
      <c r="I43" s="112">
        <f>'12-18л. МЕНЮ  '!H326</f>
        <v>1906.6590000000001</v>
      </c>
      <c r="J43" s="112">
        <f>'12-18л. МЕНЮ  '!H381</f>
        <v>1900.915</v>
      </c>
      <c r="K43" s="112">
        <f>'12-18л. МЕНЮ  '!H494</f>
        <v>1902.2510000000002</v>
      </c>
      <c r="L43" s="120">
        <f>'12-18л. МЕНЮ  '!H549</f>
        <v>1908.7840000000001</v>
      </c>
      <c r="M43" s="112">
        <f>'12-18л. МЕНЮ  '!H603</f>
        <v>1900.1100000000001</v>
      </c>
      <c r="N43" s="112">
        <f>'12-18л. МЕНЮ  '!H658</f>
        <v>1908.0709999999999</v>
      </c>
      <c r="O43" s="112">
        <f>'12-18л. МЕНЮ  '!H711</f>
        <v>1905.7420000000002</v>
      </c>
      <c r="P43" s="1509">
        <f>'12-18л. МЕНЮ  '!H768</f>
        <v>1899.038</v>
      </c>
      <c r="Q43" s="2260">
        <f>E43+F43+G43+H43+I43+J43+K43+L43+M43+N43+O43+P43</f>
        <v>22847.996200000001</v>
      </c>
      <c r="R43" s="2613">
        <f t="shared" si="0"/>
        <v>-1.6631652655973994E-5</v>
      </c>
      <c r="S43" s="2246">
        <f t="shared" si="1"/>
        <v>22848</v>
      </c>
      <c r="T43" s="2247">
        <v>2720</v>
      </c>
      <c r="U43" s="3"/>
      <c r="Y43" s="945"/>
      <c r="Z43" s="13"/>
      <c r="AA43" s="946"/>
      <c r="AB43" s="928"/>
      <c r="AD43" s="929"/>
    </row>
    <row r="45" spans="2:34">
      <c r="R45" s="176"/>
    </row>
    <row r="46" spans="2:34" ht="13.5" customHeight="1"/>
    <row r="47" spans="2:34" ht="12.75" customHeight="1"/>
    <row r="48" spans="2:34" ht="12.75" customHeight="1"/>
    <row r="49" spans="2:16" ht="11.25" customHeight="1"/>
    <row r="50" spans="2:16" ht="11.25" customHeight="1"/>
    <row r="52" spans="2:16">
      <c r="B52" t="s">
        <v>304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>
      <c r="B53" t="s">
        <v>305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</row>
    <row r="54" spans="2:16">
      <c r="B54" t="s">
        <v>306</v>
      </c>
      <c r="O54" s="329"/>
      <c r="P54" s="329"/>
    </row>
    <row r="55" spans="2:16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>
      <c r="B56" s="1" t="s">
        <v>307</v>
      </c>
    </row>
    <row r="57" spans="2:16">
      <c r="B57" t="s">
        <v>308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66" ht="13.5" customHeight="1"/>
    <row r="68" ht="13.5" customHeight="1"/>
    <row r="69" ht="12" customHeight="1"/>
    <row r="71" ht="12.75" customHeight="1"/>
    <row r="73" ht="12.75" customHeight="1"/>
    <row r="75" ht="12.75" customHeight="1"/>
    <row r="77" ht="12.75" customHeight="1"/>
    <row r="78" hidden="1"/>
    <row r="86" spans="2:28">
      <c r="B86" s="94"/>
      <c r="D86" s="94"/>
    </row>
    <row r="87" spans="2:28">
      <c r="C87" s="13"/>
      <c r="D87" s="22"/>
      <c r="E87" s="14"/>
      <c r="F87" s="14"/>
      <c r="G87" s="14"/>
      <c r="H87" s="14"/>
      <c r="I87" s="14"/>
      <c r="J87" s="14"/>
      <c r="K87" s="14"/>
      <c r="L87" s="14"/>
      <c r="M87" s="13"/>
      <c r="N87" s="13"/>
      <c r="O87" s="9"/>
      <c r="P87" s="9"/>
      <c r="Q87" s="13"/>
      <c r="R87" s="22"/>
      <c r="T87" s="22"/>
      <c r="U87" s="13"/>
    </row>
    <row r="88" spans="2:28">
      <c r="C88" s="13"/>
      <c r="D88" s="9"/>
      <c r="E88" s="14"/>
      <c r="F88" s="14"/>
      <c r="G88" s="14"/>
      <c r="H88" s="14"/>
      <c r="I88" s="14"/>
      <c r="J88" s="14"/>
      <c r="K88" s="14"/>
      <c r="L88" s="14"/>
      <c r="M88" s="13"/>
      <c r="N88" s="13"/>
      <c r="O88" s="9"/>
      <c r="P88" s="9"/>
      <c r="Q88" s="13"/>
      <c r="R88" s="22"/>
      <c r="T88" s="22"/>
      <c r="U88" s="13"/>
    </row>
    <row r="89" spans="2:28">
      <c r="C89" s="22"/>
      <c r="D89" s="22"/>
      <c r="E89" s="14"/>
      <c r="F89" s="14"/>
      <c r="G89" s="14"/>
      <c r="H89" s="14"/>
      <c r="K89" s="14"/>
      <c r="L89" s="48"/>
      <c r="M89" s="13"/>
      <c r="N89" s="13"/>
      <c r="O89" s="9"/>
      <c r="P89" s="9"/>
      <c r="Q89" s="22"/>
      <c r="R89" s="22"/>
      <c r="T89" s="22"/>
      <c r="U89" s="13"/>
      <c r="AB89" s="922"/>
    </row>
    <row r="90" spans="2:28">
      <c r="C90" s="13"/>
      <c r="D90" s="13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9"/>
      <c r="P90" s="9"/>
      <c r="Q90" s="22"/>
      <c r="R90" s="22"/>
      <c r="T90" s="22"/>
      <c r="U90" s="13"/>
      <c r="Z90" s="150"/>
      <c r="AB90" s="922"/>
    </row>
    <row r="91" spans="2:28">
      <c r="C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9"/>
      <c r="P91" s="9"/>
      <c r="Q91" s="13"/>
      <c r="R91" s="22"/>
      <c r="T91" s="22"/>
      <c r="U91" s="13"/>
      <c r="Z91" s="150"/>
      <c r="AB91" s="923"/>
    </row>
    <row r="92" spans="2:28">
      <c r="C92" s="13"/>
      <c r="D92" s="14"/>
      <c r="E92" s="13"/>
      <c r="F92" s="13"/>
      <c r="G92" s="13"/>
      <c r="H92" s="13"/>
      <c r="I92" s="4"/>
      <c r="J92" s="13"/>
      <c r="K92" s="13"/>
      <c r="L92" s="13"/>
      <c r="M92" s="13"/>
      <c r="N92" s="4"/>
      <c r="O92" s="9"/>
      <c r="P92" s="9"/>
      <c r="Q92" s="14"/>
      <c r="R92" s="22"/>
      <c r="S92" s="13"/>
      <c r="T92" s="22"/>
      <c r="U92" s="13"/>
      <c r="W92" s="345"/>
      <c r="X92" s="22"/>
      <c r="Y92" s="3"/>
      <c r="Z92" s="924"/>
      <c r="AB92" s="923"/>
    </row>
    <row r="93" spans="2:28">
      <c r="B93" s="3"/>
      <c r="C93" s="13"/>
      <c r="D93" s="925"/>
      <c r="E93" s="940"/>
      <c r="F93" s="926"/>
      <c r="G93" s="926"/>
      <c r="H93" s="926"/>
      <c r="I93" s="926"/>
      <c r="J93" s="926"/>
      <c r="K93" s="926"/>
      <c r="L93" s="926"/>
      <c r="M93" s="926"/>
      <c r="N93" s="926"/>
      <c r="O93" s="925"/>
      <c r="P93" s="22"/>
      <c r="Q93" s="22"/>
      <c r="S93" s="64"/>
      <c r="W93" s="927"/>
      <c r="X93" s="13"/>
      <c r="Y93" s="1"/>
      <c r="Z93" s="928"/>
      <c r="AB93" s="929"/>
    </row>
    <row r="94" spans="2:28">
      <c r="B94" s="3"/>
      <c r="C94" s="13"/>
      <c r="D94" s="925"/>
      <c r="E94" s="940"/>
      <c r="F94" s="926"/>
      <c r="G94" s="926"/>
      <c r="H94" s="926"/>
      <c r="I94" s="926"/>
      <c r="J94" s="926"/>
      <c r="K94" s="926"/>
      <c r="L94" s="926"/>
      <c r="M94" s="926"/>
      <c r="N94" s="926"/>
      <c r="O94" s="930"/>
      <c r="P94" s="107"/>
      <c r="Q94" s="22"/>
      <c r="W94" s="927"/>
      <c r="X94" s="13"/>
      <c r="Y94" s="1"/>
      <c r="Z94" s="928"/>
      <c r="AB94" s="929"/>
    </row>
    <row r="95" spans="2:28">
      <c r="B95" s="3"/>
      <c r="C95" s="13"/>
      <c r="D95" s="925"/>
      <c r="E95" s="940"/>
      <c r="F95" s="926"/>
      <c r="G95" s="926"/>
      <c r="H95" s="940"/>
      <c r="I95" s="926"/>
      <c r="J95" s="926"/>
      <c r="K95" s="940"/>
      <c r="L95" s="926"/>
      <c r="M95" s="926"/>
      <c r="N95" s="926"/>
      <c r="O95" s="925"/>
      <c r="P95" s="107"/>
      <c r="Q95" s="22"/>
      <c r="W95" s="927"/>
      <c r="X95" s="13"/>
      <c r="Y95" s="1"/>
      <c r="Z95" s="928"/>
      <c r="AB95" s="931"/>
    </row>
    <row r="96" spans="2:28">
      <c r="B96" s="3"/>
      <c r="C96" s="13"/>
      <c r="D96" s="925"/>
      <c r="E96" s="940"/>
      <c r="F96" s="926"/>
      <c r="G96" s="926"/>
      <c r="H96" s="926"/>
      <c r="I96" s="926"/>
      <c r="J96" s="926"/>
      <c r="K96" s="926"/>
      <c r="L96" s="926"/>
      <c r="M96" s="926"/>
      <c r="N96" s="940"/>
      <c r="O96" s="932"/>
      <c r="P96" s="107"/>
      <c r="Q96" s="22"/>
      <c r="W96" s="927"/>
      <c r="X96" s="13"/>
      <c r="Y96" s="1"/>
      <c r="Z96" s="928"/>
      <c r="AB96" s="929"/>
    </row>
    <row r="97" spans="2:28">
      <c r="B97" s="3"/>
      <c r="C97" s="13"/>
      <c r="D97" s="925"/>
      <c r="E97" s="940"/>
      <c r="F97" s="926"/>
      <c r="G97" s="926"/>
      <c r="H97" s="926"/>
      <c r="I97" s="926"/>
      <c r="J97" s="926"/>
      <c r="K97" s="926"/>
      <c r="L97" s="926"/>
      <c r="M97" s="926"/>
      <c r="N97" s="926"/>
      <c r="O97" s="925"/>
      <c r="P97" s="107"/>
      <c r="Q97" s="22"/>
      <c r="W97" s="927"/>
      <c r="X97" s="13"/>
      <c r="Y97" s="1"/>
      <c r="Z97" s="928"/>
      <c r="AB97" s="933"/>
    </row>
    <row r="98" spans="2:28">
      <c r="B98" s="3"/>
      <c r="C98" s="13"/>
      <c r="D98" s="925"/>
      <c r="E98" s="940"/>
      <c r="F98" s="926"/>
      <c r="G98" s="926"/>
      <c r="H98" s="926"/>
      <c r="I98" s="926"/>
      <c r="J98" s="926"/>
      <c r="K98" s="926"/>
      <c r="L98" s="926"/>
      <c r="M98" s="926"/>
      <c r="N98" s="926"/>
      <c r="O98" s="925"/>
      <c r="P98" s="107"/>
      <c r="Q98" s="22"/>
      <c r="W98" s="927"/>
      <c r="X98" s="13"/>
      <c r="Y98" s="1"/>
      <c r="Z98" s="928"/>
      <c r="AB98" s="931"/>
    </row>
    <row r="99" spans="2:28">
      <c r="B99" s="3"/>
      <c r="C99" s="13"/>
      <c r="D99" s="925"/>
      <c r="E99" s="940"/>
      <c r="F99" s="926"/>
      <c r="G99" s="9"/>
      <c r="H99" s="935"/>
      <c r="I99" s="940"/>
      <c r="J99" s="926"/>
      <c r="K99" s="926"/>
      <c r="L99" s="926"/>
      <c r="M99" s="926"/>
      <c r="N99" s="926"/>
      <c r="O99" s="934"/>
      <c r="P99" s="107"/>
      <c r="Q99" s="22"/>
      <c r="W99" s="927"/>
      <c r="X99" s="13"/>
      <c r="Y99" s="1"/>
      <c r="Z99" s="928"/>
      <c r="AB99" s="933"/>
    </row>
    <row r="100" spans="2:28">
      <c r="B100" s="3"/>
      <c r="C100" s="13"/>
      <c r="D100" s="925"/>
      <c r="E100" s="940"/>
      <c r="F100" s="926"/>
      <c r="G100" s="926"/>
      <c r="H100" s="926"/>
      <c r="I100" s="926"/>
      <c r="J100" s="926"/>
      <c r="K100" s="926"/>
      <c r="L100" s="926"/>
      <c r="M100" s="926"/>
      <c r="N100" s="926"/>
      <c r="O100" s="925"/>
      <c r="P100" s="107"/>
      <c r="Q100" s="22"/>
      <c r="W100" s="927"/>
      <c r="X100" s="13"/>
      <c r="Y100" s="1"/>
      <c r="Z100" s="928"/>
      <c r="AB100" s="929"/>
    </row>
    <row r="101" spans="2:28">
      <c r="B101" s="3"/>
      <c r="C101" s="13"/>
      <c r="D101" s="925"/>
      <c r="E101" s="940"/>
      <c r="F101" s="926"/>
      <c r="G101" s="926"/>
      <c r="H101" s="926"/>
      <c r="I101" s="926"/>
      <c r="J101" s="926"/>
      <c r="K101" s="926"/>
      <c r="L101" s="926"/>
      <c r="M101" s="926"/>
      <c r="N101" s="926"/>
      <c r="O101" s="925"/>
      <c r="P101" s="107"/>
      <c r="Q101" s="22"/>
      <c r="W101" s="927"/>
      <c r="X101" s="13"/>
      <c r="Y101" s="1"/>
      <c r="Z101" s="928"/>
      <c r="AB101" s="929"/>
    </row>
    <row r="102" spans="2:28" ht="12.75" customHeight="1">
      <c r="B102" s="3"/>
      <c r="C102" s="13"/>
      <c r="D102" s="925"/>
      <c r="E102" s="940"/>
      <c r="F102" s="926"/>
      <c r="G102" s="926"/>
      <c r="H102" s="926"/>
      <c r="I102" s="926"/>
      <c r="J102" s="926"/>
      <c r="K102" s="926"/>
      <c r="L102" s="926"/>
      <c r="M102" s="926"/>
      <c r="N102" s="926"/>
      <c r="O102" s="925"/>
      <c r="P102" s="107"/>
      <c r="Q102" s="22"/>
      <c r="W102" s="927"/>
      <c r="X102" s="13"/>
      <c r="Y102" s="1"/>
      <c r="Z102" s="928"/>
      <c r="AB102" s="929"/>
    </row>
    <row r="103" spans="2:28" ht="13.5" customHeight="1">
      <c r="B103" s="3"/>
      <c r="C103" s="13"/>
      <c r="D103" s="925"/>
      <c r="E103" s="940"/>
      <c r="F103" s="926"/>
      <c r="G103" s="926"/>
      <c r="H103" s="926"/>
      <c r="I103" s="926"/>
      <c r="J103" s="926"/>
      <c r="K103" s="926"/>
      <c r="L103" s="926"/>
      <c r="M103" s="926"/>
      <c r="N103" s="926"/>
      <c r="O103" s="925"/>
      <c r="P103" s="107"/>
      <c r="Q103" s="22"/>
      <c r="W103" s="927"/>
      <c r="X103" s="13"/>
      <c r="Y103" s="1"/>
      <c r="Z103" s="928"/>
      <c r="AB103" s="929"/>
    </row>
    <row r="104" spans="2:28" ht="12.75" customHeight="1">
      <c r="B104" s="3"/>
      <c r="C104" s="13"/>
      <c r="D104" s="925"/>
      <c r="E104" s="940"/>
      <c r="F104" s="926"/>
      <c r="G104" s="926"/>
      <c r="H104" s="926"/>
      <c r="I104" s="926"/>
      <c r="J104" s="926"/>
      <c r="K104" s="926"/>
      <c r="L104" s="926"/>
      <c r="M104" s="926"/>
      <c r="N104" s="926"/>
      <c r="O104" s="925"/>
      <c r="P104" s="107"/>
      <c r="Q104" s="22"/>
      <c r="W104" s="927"/>
      <c r="X104" s="13"/>
      <c r="Y104" s="1"/>
      <c r="Z104" s="928"/>
      <c r="AB104" s="929"/>
    </row>
    <row r="105" spans="2:28">
      <c r="B105" s="3"/>
      <c r="C105" s="13"/>
      <c r="D105" s="925"/>
      <c r="E105" s="940"/>
      <c r="F105" s="926"/>
      <c r="G105" s="926"/>
      <c r="H105" s="926"/>
      <c r="I105" s="926"/>
      <c r="J105" s="926"/>
      <c r="K105" s="926"/>
      <c r="L105" s="926"/>
      <c r="M105" s="926"/>
      <c r="N105" s="926"/>
      <c r="O105" s="925"/>
      <c r="P105" s="107"/>
      <c r="Q105" s="22"/>
      <c r="W105" s="927"/>
      <c r="X105" s="13"/>
      <c r="Y105" s="1"/>
      <c r="Z105" s="928"/>
      <c r="AB105" s="929"/>
    </row>
    <row r="106" spans="2:28">
      <c r="B106" s="3"/>
      <c r="C106" s="13"/>
      <c r="D106" s="925"/>
      <c r="E106" s="940"/>
      <c r="F106" s="926"/>
      <c r="G106" s="926"/>
      <c r="H106" s="926"/>
      <c r="I106" s="926"/>
      <c r="J106" s="926"/>
      <c r="K106" s="926"/>
      <c r="L106" s="926"/>
      <c r="M106" s="926"/>
      <c r="N106" s="926"/>
      <c r="O106" s="925"/>
      <c r="P106" s="107"/>
      <c r="Q106" s="22"/>
      <c r="W106" s="927"/>
      <c r="X106" s="13"/>
      <c r="Y106" s="1"/>
      <c r="Z106" s="928"/>
      <c r="AB106" s="929"/>
    </row>
    <row r="107" spans="2:28">
      <c r="B107" s="3"/>
      <c r="C107" s="13"/>
      <c r="D107" s="925"/>
      <c r="E107" s="940"/>
      <c r="F107" s="926"/>
      <c r="G107" s="926"/>
      <c r="H107" s="926"/>
      <c r="I107" s="926"/>
      <c r="J107" s="926"/>
      <c r="K107" s="926"/>
      <c r="L107" s="926"/>
      <c r="M107" s="926"/>
      <c r="N107" s="926"/>
      <c r="O107" s="925"/>
      <c r="P107" s="107"/>
      <c r="Q107" s="22"/>
      <c r="W107" s="927"/>
      <c r="X107" s="13"/>
      <c r="Y107" s="1"/>
      <c r="Z107" s="928"/>
      <c r="AB107" s="931"/>
    </row>
    <row r="108" spans="2:28" ht="12.75" customHeight="1">
      <c r="B108" s="3"/>
      <c r="C108" s="13"/>
      <c r="D108" s="925"/>
      <c r="E108" s="943"/>
      <c r="F108" s="935"/>
      <c r="G108" s="936"/>
      <c r="H108" s="926"/>
      <c r="I108" s="926"/>
      <c r="J108" s="926"/>
      <c r="K108" s="926"/>
      <c r="L108" s="935"/>
      <c r="M108" s="935"/>
      <c r="N108" s="926"/>
      <c r="O108" s="930"/>
      <c r="P108" s="107"/>
      <c r="Q108" s="22"/>
      <c r="W108" s="927"/>
      <c r="X108" s="13"/>
      <c r="Y108" s="1"/>
      <c r="Z108" s="928"/>
      <c r="AB108" s="937"/>
    </row>
    <row r="109" spans="2:28" ht="12.75" customHeight="1">
      <c r="B109" s="3"/>
      <c r="C109" s="13"/>
      <c r="D109" s="925"/>
      <c r="E109" s="943"/>
      <c r="F109" s="935"/>
      <c r="G109" s="936"/>
      <c r="H109" s="926"/>
      <c r="I109" s="926"/>
      <c r="J109" s="926"/>
      <c r="K109" s="926"/>
      <c r="L109" s="935"/>
      <c r="M109" s="935"/>
      <c r="N109" s="926"/>
      <c r="O109" s="925"/>
      <c r="P109" s="107"/>
      <c r="Q109" s="22"/>
      <c r="W109" s="927"/>
      <c r="X109" s="13"/>
      <c r="Y109" s="1"/>
      <c r="Z109" s="928"/>
      <c r="AB109" s="929"/>
    </row>
    <row r="110" spans="2:28" ht="11.25" customHeight="1">
      <c r="B110" s="3"/>
      <c r="C110" s="13"/>
      <c r="D110" s="925"/>
      <c r="E110" s="943"/>
      <c r="F110" s="935"/>
      <c r="G110" s="936"/>
      <c r="H110" s="926"/>
      <c r="I110" s="926"/>
      <c r="J110" s="926"/>
      <c r="K110" s="926"/>
      <c r="L110" s="935"/>
      <c r="M110" s="935"/>
      <c r="N110" s="926"/>
      <c r="O110" s="925"/>
      <c r="P110" s="107"/>
      <c r="Q110" s="22"/>
      <c r="W110" s="927"/>
      <c r="X110" s="13"/>
      <c r="Y110" s="1"/>
      <c r="Z110" s="928"/>
      <c r="AB110" s="929"/>
    </row>
    <row r="111" spans="2:28" ht="12.75" customHeight="1">
      <c r="B111" s="3"/>
      <c r="C111" s="13"/>
      <c r="D111" s="925"/>
      <c r="E111" s="943"/>
      <c r="F111" s="935"/>
      <c r="G111" s="936"/>
      <c r="H111" s="926"/>
      <c r="I111" s="947"/>
      <c r="J111" s="926"/>
      <c r="K111" s="947"/>
      <c r="L111" s="940"/>
      <c r="M111" s="940"/>
      <c r="N111" s="926"/>
      <c r="O111" s="925"/>
      <c r="P111" s="107"/>
      <c r="Q111" s="22"/>
      <c r="W111" s="927"/>
      <c r="X111" s="13"/>
      <c r="Y111" s="1"/>
      <c r="Z111" s="928"/>
      <c r="AB111" s="933"/>
    </row>
    <row r="112" spans="2:28" ht="13.5" customHeight="1">
      <c r="B112" s="3"/>
      <c r="C112" s="13"/>
      <c r="D112" s="925"/>
      <c r="E112" s="943"/>
      <c r="F112" s="940"/>
      <c r="G112" s="936"/>
      <c r="H112" s="926"/>
      <c r="I112" s="926"/>
      <c r="J112" s="926"/>
      <c r="K112" s="926"/>
      <c r="L112" s="940"/>
      <c r="M112" s="940"/>
      <c r="N112" s="926"/>
      <c r="O112" s="925"/>
      <c r="P112" s="107"/>
      <c r="Q112" s="22"/>
      <c r="W112" s="927"/>
      <c r="X112" s="13"/>
      <c r="Y112" s="1"/>
      <c r="Z112" s="928"/>
      <c r="AB112" s="929"/>
    </row>
    <row r="113" spans="2:28" ht="14.25" customHeight="1">
      <c r="B113" s="3"/>
      <c r="C113" s="13"/>
      <c r="D113" s="925"/>
      <c r="E113" s="943"/>
      <c r="F113" s="935"/>
      <c r="G113" s="936"/>
      <c r="H113" s="926"/>
      <c r="I113" s="926"/>
      <c r="J113" s="926"/>
      <c r="K113" s="926"/>
      <c r="L113" s="940"/>
      <c r="M113" s="935"/>
      <c r="N113" s="926"/>
      <c r="O113" s="925"/>
      <c r="P113" s="107"/>
      <c r="Q113" s="22"/>
      <c r="W113" s="927"/>
      <c r="X113" s="13"/>
      <c r="Y113" s="1"/>
      <c r="Z113" s="928"/>
      <c r="AB113" s="929"/>
    </row>
    <row r="114" spans="2:28">
      <c r="B114" s="3"/>
      <c r="C114" s="13"/>
      <c r="D114" s="925"/>
      <c r="E114" s="943"/>
      <c r="F114" s="940"/>
      <c r="G114" s="936"/>
      <c r="H114" s="926"/>
      <c r="I114" s="926"/>
      <c r="J114" s="926"/>
      <c r="K114" s="926"/>
      <c r="L114" s="936"/>
      <c r="M114" s="936"/>
      <c r="N114" s="9"/>
      <c r="O114" s="925"/>
      <c r="P114" s="107"/>
      <c r="Q114" s="22"/>
      <c r="W114" s="927"/>
      <c r="X114" s="13"/>
      <c r="Y114" s="1"/>
      <c r="Z114" s="928"/>
      <c r="AB114" s="929"/>
    </row>
    <row r="115" spans="2:28" ht="14.25" customHeight="1">
      <c r="B115" s="3"/>
      <c r="C115" s="13"/>
      <c r="D115" s="925"/>
      <c r="E115" s="943"/>
      <c r="F115" s="940"/>
      <c r="G115" s="940"/>
      <c r="H115" s="926"/>
      <c r="I115" s="926"/>
      <c r="J115" s="926"/>
      <c r="K115" s="935"/>
      <c r="L115" s="947"/>
      <c r="M115" s="940"/>
      <c r="N115" s="936"/>
      <c r="O115" s="925"/>
      <c r="P115" s="107"/>
      <c r="Q115" s="22"/>
      <c r="W115" s="927"/>
      <c r="X115" s="13"/>
      <c r="Y115" s="1"/>
      <c r="Z115" s="928"/>
      <c r="AB115" s="929"/>
    </row>
    <row r="116" spans="2:28">
      <c r="B116" s="3"/>
      <c r="C116" s="13"/>
      <c r="D116" s="925"/>
      <c r="E116" s="943"/>
      <c r="F116" s="935"/>
      <c r="G116" s="936"/>
      <c r="H116" s="926"/>
      <c r="I116" s="926"/>
      <c r="J116" s="926"/>
      <c r="K116" s="926"/>
      <c r="L116" s="935"/>
      <c r="M116" s="935"/>
      <c r="N116" s="926"/>
      <c r="O116" s="925"/>
      <c r="P116" s="107"/>
      <c r="Q116" s="22"/>
      <c r="W116" s="927"/>
      <c r="X116" s="13"/>
      <c r="Y116" s="1"/>
      <c r="Z116" s="928"/>
      <c r="AB116" s="929"/>
    </row>
    <row r="117" spans="2:28" ht="11.25" customHeight="1">
      <c r="B117" s="3"/>
      <c r="C117" s="13"/>
      <c r="D117" s="925"/>
      <c r="E117" s="943"/>
      <c r="F117" s="940"/>
      <c r="G117" s="936"/>
      <c r="H117" s="926"/>
      <c r="I117" s="926"/>
      <c r="J117" s="926"/>
      <c r="K117" s="926"/>
      <c r="L117" s="936"/>
      <c r="M117" s="936"/>
      <c r="N117" s="926"/>
      <c r="O117" s="925"/>
      <c r="P117" s="938"/>
      <c r="Q117" s="22"/>
      <c r="W117" s="927"/>
      <c r="X117" s="13"/>
      <c r="Y117" s="1"/>
      <c r="Z117" s="928"/>
      <c r="AB117" s="939"/>
    </row>
    <row r="118" spans="2:28">
      <c r="B118" s="3"/>
      <c r="C118" s="13"/>
      <c r="D118" s="925"/>
      <c r="E118" s="943"/>
      <c r="F118" s="935"/>
      <c r="G118" s="936"/>
      <c r="H118" s="926"/>
      <c r="I118" s="926"/>
      <c r="J118" s="926"/>
      <c r="K118" s="926"/>
      <c r="L118" s="936"/>
      <c r="M118" s="936"/>
      <c r="N118" s="926"/>
      <c r="O118" s="925"/>
      <c r="P118" s="107"/>
      <c r="Q118" s="22"/>
      <c r="W118" s="927"/>
      <c r="X118" s="13"/>
      <c r="Y118" s="1"/>
      <c r="Z118" s="928"/>
      <c r="AB118" s="929"/>
    </row>
    <row r="119" spans="2:28">
      <c r="B119" s="3"/>
      <c r="C119" s="13"/>
      <c r="D119" s="925"/>
      <c r="E119" s="943"/>
      <c r="F119" s="936"/>
      <c r="G119" s="940"/>
      <c r="H119" s="926"/>
      <c r="I119" s="926"/>
      <c r="J119" s="926"/>
      <c r="K119" s="926"/>
      <c r="L119" s="947"/>
      <c r="M119" s="940"/>
      <c r="N119" s="926"/>
      <c r="O119" s="925"/>
      <c r="P119" s="938"/>
      <c r="Q119" s="22"/>
      <c r="W119" s="927"/>
      <c r="X119" s="13"/>
      <c r="Y119" s="1"/>
      <c r="Z119" s="928"/>
      <c r="AB119" s="939"/>
    </row>
    <row r="120" spans="2:28" hidden="1">
      <c r="B120" s="3"/>
      <c r="C120" s="13"/>
      <c r="D120" s="925"/>
      <c r="E120" s="943"/>
      <c r="F120" s="940"/>
      <c r="G120" s="936"/>
      <c r="H120" s="926"/>
      <c r="I120" s="926"/>
      <c r="J120" s="926"/>
      <c r="K120" s="926"/>
      <c r="L120" s="935"/>
      <c r="M120" s="935"/>
      <c r="N120" s="926"/>
      <c r="O120" s="925"/>
      <c r="P120" s="107"/>
      <c r="Q120" s="22"/>
      <c r="W120" s="927"/>
      <c r="X120" s="13"/>
      <c r="Y120" s="1"/>
      <c r="Z120" s="928"/>
      <c r="AB120" s="933"/>
    </row>
    <row r="121" spans="2:28">
      <c r="B121" s="3"/>
      <c r="C121" s="4"/>
      <c r="D121" s="925"/>
      <c r="E121" s="943"/>
      <c r="F121" s="936"/>
      <c r="G121" s="936"/>
      <c r="H121" s="926"/>
      <c r="I121" s="926"/>
      <c r="J121" s="926"/>
      <c r="K121" s="926"/>
      <c r="L121" s="940"/>
      <c r="M121" s="940"/>
      <c r="N121" s="926"/>
      <c r="O121" s="925"/>
      <c r="P121" s="107"/>
      <c r="Q121" s="22"/>
      <c r="W121" s="927"/>
      <c r="X121" s="13"/>
      <c r="Y121" s="1"/>
      <c r="Z121" s="928"/>
      <c r="AB121" s="929"/>
    </row>
    <row r="122" spans="2:28">
      <c r="B122" s="3"/>
      <c r="C122" s="13"/>
      <c r="D122" s="925"/>
      <c r="E122" s="943"/>
      <c r="F122" s="935"/>
      <c r="G122" s="936"/>
      <c r="H122" s="947"/>
      <c r="I122" s="926"/>
      <c r="J122" s="926"/>
      <c r="K122" s="926"/>
      <c r="L122" s="935"/>
      <c r="M122" s="936"/>
      <c r="N122" s="926"/>
      <c r="O122" s="930"/>
      <c r="P122" s="938"/>
      <c r="Q122" s="22"/>
      <c r="W122" s="927"/>
      <c r="X122" s="13"/>
      <c r="Y122" s="1"/>
      <c r="Z122" s="928"/>
      <c r="AB122" s="939"/>
    </row>
    <row r="123" spans="2:28">
      <c r="B123" s="3"/>
      <c r="C123" s="13"/>
      <c r="D123" s="925"/>
      <c r="E123" s="943"/>
      <c r="F123" s="947"/>
      <c r="G123" s="947"/>
      <c r="H123" s="926"/>
      <c r="I123" s="926"/>
      <c r="J123" s="926"/>
      <c r="K123" s="926"/>
      <c r="L123" s="948"/>
      <c r="M123" s="947"/>
      <c r="N123" s="926"/>
      <c r="O123" s="930"/>
      <c r="P123" s="107"/>
      <c r="Q123" s="22"/>
      <c r="W123" s="927"/>
      <c r="X123" s="13"/>
      <c r="Y123" s="1"/>
      <c r="Z123" s="928"/>
      <c r="AB123" s="942"/>
    </row>
    <row r="124" spans="2:28">
      <c r="B124" s="3"/>
      <c r="C124" s="13"/>
      <c r="D124" s="925"/>
      <c r="E124" s="943"/>
      <c r="F124" s="151"/>
      <c r="G124" s="151"/>
      <c r="H124" s="151"/>
      <c r="I124" s="151"/>
      <c r="J124" s="151"/>
      <c r="K124" s="151"/>
      <c r="L124" s="151"/>
      <c r="M124" s="151"/>
      <c r="N124" s="151"/>
      <c r="O124" s="930"/>
      <c r="P124" s="107"/>
      <c r="Q124" s="22"/>
      <c r="W124" s="927"/>
      <c r="X124" s="13"/>
      <c r="Y124" s="1"/>
      <c r="Z124" s="928"/>
      <c r="AB124" s="929"/>
    </row>
    <row r="125" spans="2:28" ht="11.25" customHeight="1">
      <c r="B125" s="3"/>
      <c r="C125" s="13"/>
      <c r="D125" s="925"/>
      <c r="E125" s="943"/>
      <c r="F125" s="151"/>
      <c r="G125" s="151"/>
      <c r="H125" s="151"/>
      <c r="I125" s="151"/>
      <c r="J125" s="151"/>
      <c r="K125" s="151"/>
      <c r="L125" s="151"/>
      <c r="M125" s="151"/>
      <c r="N125" s="151"/>
      <c r="O125" s="930"/>
      <c r="P125" s="107"/>
      <c r="Q125" s="22"/>
      <c r="W125" s="927"/>
      <c r="X125" s="13"/>
      <c r="Y125" s="1"/>
      <c r="Z125" s="928"/>
      <c r="AB125" s="929"/>
    </row>
    <row r="126" spans="2:28" ht="12.75" customHeight="1">
      <c r="B126" s="3"/>
      <c r="C126" s="13"/>
      <c r="D126" s="925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930"/>
      <c r="P126" s="107"/>
      <c r="Q126" s="22"/>
      <c r="W126" s="927"/>
      <c r="X126" s="13"/>
      <c r="Y126" s="1"/>
      <c r="Z126" s="928"/>
      <c r="AB126" s="929"/>
    </row>
    <row r="127" spans="2:28" ht="11.25" customHeight="1">
      <c r="B127" s="3"/>
      <c r="C127" s="13"/>
      <c r="D127" s="925"/>
      <c r="E127" s="151"/>
      <c r="F127" s="151"/>
      <c r="G127" s="151"/>
      <c r="H127" s="151"/>
      <c r="I127" s="151"/>
      <c r="J127" s="151"/>
      <c r="K127" s="944"/>
      <c r="L127" s="151"/>
      <c r="M127" s="151"/>
      <c r="N127" s="151"/>
      <c r="O127" s="932"/>
      <c r="P127" s="107"/>
      <c r="Q127" s="22"/>
      <c r="W127" s="945"/>
      <c r="X127" s="13"/>
      <c r="Y127" s="946"/>
      <c r="Z127" s="928"/>
      <c r="AB127" s="929"/>
    </row>
    <row r="128" spans="2:28">
      <c r="B128" s="94"/>
      <c r="D128" s="94"/>
    </row>
    <row r="129" spans="2:28">
      <c r="C129" s="13"/>
      <c r="D129" s="22"/>
      <c r="E129" s="14"/>
      <c r="F129" s="14"/>
      <c r="G129" s="14"/>
      <c r="H129" s="14"/>
      <c r="I129" s="14"/>
      <c r="J129" s="14"/>
      <c r="K129" s="14"/>
      <c r="L129" s="14"/>
      <c r="M129" s="13"/>
      <c r="N129" s="13"/>
      <c r="O129" s="9"/>
      <c r="P129" s="9"/>
      <c r="Q129" s="13"/>
      <c r="R129" s="22"/>
      <c r="T129" s="22"/>
      <c r="U129" s="13"/>
    </row>
    <row r="130" spans="2:28">
      <c r="C130" s="13"/>
      <c r="D130" s="9"/>
      <c r="E130" s="850"/>
      <c r="F130" s="14"/>
      <c r="G130" s="14"/>
      <c r="H130" s="14"/>
      <c r="I130" s="14"/>
      <c r="J130" s="14"/>
      <c r="K130" s="14"/>
      <c r="L130" s="14"/>
      <c r="M130" s="13"/>
      <c r="N130" s="13"/>
      <c r="O130" s="9"/>
      <c r="P130" s="9"/>
      <c r="Q130" s="13"/>
      <c r="R130" s="22"/>
      <c r="T130" s="22"/>
      <c r="U130" s="13"/>
    </row>
    <row r="131" spans="2:28">
      <c r="C131" s="22"/>
      <c r="D131" s="22"/>
      <c r="E131" s="14"/>
      <c r="F131" s="14"/>
      <c r="G131" s="14"/>
      <c r="H131" s="14"/>
      <c r="K131" s="14"/>
      <c r="L131" s="48"/>
      <c r="M131" s="13"/>
      <c r="N131" s="13"/>
      <c r="O131" s="9"/>
      <c r="P131" s="9"/>
      <c r="Q131" s="22"/>
      <c r="R131" s="22"/>
      <c r="T131" s="22"/>
      <c r="U131" s="13"/>
      <c r="AB131" s="922"/>
    </row>
    <row r="132" spans="2:28">
      <c r="C132" s="13"/>
      <c r="D132" s="13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"/>
      <c r="P132" s="9"/>
      <c r="Q132" s="22"/>
      <c r="R132" s="22"/>
      <c r="T132" s="22"/>
      <c r="U132" s="13"/>
      <c r="Z132" s="150"/>
      <c r="AB132" s="922"/>
    </row>
    <row r="133" spans="2:28">
      <c r="C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9"/>
      <c r="P133" s="9"/>
      <c r="Q133" s="13"/>
      <c r="R133" s="22"/>
      <c r="T133" s="22"/>
      <c r="U133" s="13"/>
      <c r="Z133" s="150"/>
      <c r="AB133" s="923"/>
    </row>
    <row r="134" spans="2:28">
      <c r="C134" s="13"/>
      <c r="D134" s="14"/>
      <c r="E134" s="13"/>
      <c r="F134" s="13"/>
      <c r="G134" s="13"/>
      <c r="H134" s="13"/>
      <c r="I134" s="4"/>
      <c r="J134" s="13"/>
      <c r="K134" s="13"/>
      <c r="L134" s="13"/>
      <c r="M134" s="13"/>
      <c r="N134" s="4"/>
      <c r="O134" s="9"/>
      <c r="P134" s="9"/>
      <c r="Q134" s="14"/>
      <c r="R134" s="22"/>
      <c r="S134" s="13"/>
      <c r="T134" s="22"/>
      <c r="U134" s="13"/>
      <c r="W134" s="345"/>
      <c r="X134" s="22"/>
      <c r="Y134" s="3"/>
      <c r="Z134" s="924"/>
      <c r="AB134" s="923"/>
    </row>
    <row r="135" spans="2:28">
      <c r="B135" s="3"/>
      <c r="C135" s="13"/>
      <c r="D135" s="925"/>
      <c r="E135" s="926"/>
      <c r="F135" s="926"/>
      <c r="G135" s="926"/>
      <c r="H135" s="926"/>
      <c r="I135" s="926"/>
      <c r="J135" s="926"/>
      <c r="K135" s="926"/>
      <c r="L135" s="926"/>
      <c r="M135" s="926"/>
      <c r="N135" s="926"/>
      <c r="O135" s="925"/>
      <c r="P135" s="22"/>
      <c r="Q135" s="22"/>
      <c r="S135" s="64"/>
      <c r="W135" s="927"/>
      <c r="X135" s="13"/>
      <c r="Y135" s="1"/>
      <c r="Z135" s="928"/>
      <c r="AB135" s="929"/>
    </row>
    <row r="136" spans="2:28">
      <c r="B136" s="3"/>
      <c r="C136" s="13"/>
      <c r="D136" s="925"/>
      <c r="E136" s="926"/>
      <c r="F136" s="926"/>
      <c r="G136" s="926"/>
      <c r="H136" s="926"/>
      <c r="I136" s="926"/>
      <c r="J136" s="926"/>
      <c r="K136" s="926"/>
      <c r="L136" s="926"/>
      <c r="M136" s="926"/>
      <c r="N136" s="926"/>
      <c r="O136" s="930"/>
      <c r="P136" s="107"/>
      <c r="Q136" s="22"/>
      <c r="W136" s="927"/>
      <c r="X136" s="13"/>
      <c r="Y136" s="1"/>
      <c r="Z136" s="928"/>
      <c r="AB136" s="929"/>
    </row>
    <row r="137" spans="2:28">
      <c r="B137" s="3"/>
      <c r="C137" s="13"/>
      <c r="D137" s="925"/>
      <c r="E137" s="926"/>
      <c r="F137" s="926"/>
      <c r="G137" s="926"/>
      <c r="H137" s="940"/>
      <c r="I137" s="926"/>
      <c r="J137" s="926"/>
      <c r="K137" s="940"/>
      <c r="L137" s="926"/>
      <c r="M137" s="926"/>
      <c r="N137" s="926"/>
      <c r="O137" s="925"/>
      <c r="P137" s="107"/>
      <c r="Q137" s="22"/>
      <c r="W137" s="927"/>
      <c r="X137" s="13"/>
      <c r="Y137" s="1"/>
      <c r="Z137" s="928"/>
      <c r="AB137" s="931"/>
    </row>
    <row r="138" spans="2:28">
      <c r="B138" s="3"/>
      <c r="C138" s="13"/>
      <c r="D138" s="925"/>
      <c r="E138" s="926"/>
      <c r="F138" s="926"/>
      <c r="G138" s="926"/>
      <c r="H138" s="926"/>
      <c r="I138" s="926"/>
      <c r="J138" s="926"/>
      <c r="K138" s="926"/>
      <c r="L138" s="926"/>
      <c r="M138" s="926"/>
      <c r="N138" s="940"/>
      <c r="O138" s="932"/>
      <c r="P138" s="107"/>
      <c r="Q138" s="22"/>
      <c r="W138" s="927"/>
      <c r="X138" s="13"/>
      <c r="Y138" s="1"/>
      <c r="Z138" s="928"/>
      <c r="AB138" s="929"/>
    </row>
    <row r="139" spans="2:28">
      <c r="B139" s="3"/>
      <c r="C139" s="13"/>
      <c r="D139" s="925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5"/>
      <c r="P139" s="107"/>
      <c r="Q139" s="22"/>
      <c r="W139" s="927"/>
      <c r="X139" s="13"/>
      <c r="Y139" s="1"/>
      <c r="Z139" s="928"/>
      <c r="AB139" s="933"/>
    </row>
    <row r="140" spans="2:28">
      <c r="B140" s="3"/>
      <c r="C140" s="13"/>
      <c r="D140" s="925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5"/>
      <c r="P140" s="107"/>
      <c r="Q140" s="22"/>
      <c r="W140" s="927"/>
      <c r="X140" s="13"/>
      <c r="Y140" s="1"/>
      <c r="Z140" s="928"/>
      <c r="AB140" s="931"/>
    </row>
    <row r="141" spans="2:28">
      <c r="B141" s="3"/>
      <c r="C141" s="13"/>
      <c r="D141" s="925"/>
      <c r="E141" s="926"/>
      <c r="F141" s="926"/>
      <c r="G141" s="9"/>
      <c r="H141" s="935"/>
      <c r="I141" s="940"/>
      <c r="J141" s="926"/>
      <c r="K141" s="926"/>
      <c r="L141" s="926"/>
      <c r="M141" s="926"/>
      <c r="N141" s="926"/>
      <c r="O141" s="934"/>
      <c r="P141" s="107"/>
      <c r="Q141" s="22"/>
      <c r="W141" s="927"/>
      <c r="X141" s="13"/>
      <c r="Y141" s="1"/>
      <c r="Z141" s="928"/>
      <c r="AB141" s="933"/>
    </row>
    <row r="142" spans="2:28">
      <c r="B142" s="3"/>
      <c r="C142" s="13"/>
      <c r="D142" s="925"/>
      <c r="E142" s="689"/>
      <c r="F142" s="926"/>
      <c r="G142" s="926"/>
      <c r="H142" s="926"/>
      <c r="I142" s="926"/>
      <c r="J142" s="926"/>
      <c r="K142" s="926"/>
      <c r="L142" s="926"/>
      <c r="M142" s="926"/>
      <c r="N142" s="926"/>
      <c r="O142" s="925"/>
      <c r="P142" s="107"/>
      <c r="Q142" s="22"/>
      <c r="W142" s="927"/>
      <c r="X142" s="13"/>
      <c r="Y142" s="1"/>
      <c r="Z142" s="928"/>
      <c r="AB142" s="929"/>
    </row>
    <row r="143" spans="2:28">
      <c r="B143" s="3"/>
      <c r="C143" s="13"/>
      <c r="D143" s="925"/>
      <c r="E143" s="689"/>
      <c r="F143" s="926"/>
      <c r="G143" s="926"/>
      <c r="H143" s="926"/>
      <c r="I143" s="926"/>
      <c r="J143" s="926"/>
      <c r="K143" s="926"/>
      <c r="L143" s="926"/>
      <c r="M143" s="926"/>
      <c r="N143" s="926"/>
      <c r="O143" s="925"/>
      <c r="P143" s="107"/>
      <c r="Q143" s="22"/>
      <c r="W143" s="927"/>
      <c r="X143" s="13"/>
      <c r="Y143" s="1"/>
      <c r="Z143" s="928"/>
      <c r="AB143" s="929"/>
    </row>
    <row r="144" spans="2:28">
      <c r="B144" s="3"/>
      <c r="C144" s="13"/>
      <c r="D144" s="925"/>
      <c r="E144" s="689"/>
      <c r="F144" s="926"/>
      <c r="G144" s="926"/>
      <c r="H144" s="926"/>
      <c r="I144" s="926"/>
      <c r="J144" s="926"/>
      <c r="K144" s="926"/>
      <c r="L144" s="926"/>
      <c r="M144" s="926"/>
      <c r="N144" s="926"/>
      <c r="O144" s="925"/>
      <c r="P144" s="107"/>
      <c r="Q144" s="22"/>
      <c r="W144" s="927"/>
      <c r="X144" s="13"/>
      <c r="Y144" s="1"/>
      <c r="Z144" s="928"/>
      <c r="AB144" s="929"/>
    </row>
    <row r="145" spans="2:28">
      <c r="B145" s="3"/>
      <c r="C145" s="13"/>
      <c r="D145" s="925"/>
      <c r="E145" s="689"/>
      <c r="F145" s="926"/>
      <c r="G145" s="926"/>
      <c r="H145" s="926"/>
      <c r="I145" s="926"/>
      <c r="J145" s="926"/>
      <c r="K145" s="926"/>
      <c r="L145" s="926"/>
      <c r="M145" s="926"/>
      <c r="N145" s="926"/>
      <c r="O145" s="925"/>
      <c r="P145" s="107"/>
      <c r="Q145" s="22"/>
      <c r="W145" s="927"/>
      <c r="X145" s="13"/>
      <c r="Y145" s="1"/>
      <c r="Z145" s="928"/>
      <c r="AB145" s="929"/>
    </row>
    <row r="146" spans="2:28">
      <c r="B146" s="3"/>
      <c r="C146" s="13"/>
      <c r="D146" s="925"/>
      <c r="E146" s="689"/>
      <c r="F146" s="926"/>
      <c r="G146" s="926"/>
      <c r="H146" s="926"/>
      <c r="I146" s="926"/>
      <c r="J146" s="926"/>
      <c r="K146" s="926"/>
      <c r="L146" s="926"/>
      <c r="M146" s="926"/>
      <c r="N146" s="926"/>
      <c r="O146" s="925"/>
      <c r="P146" s="107"/>
      <c r="Q146" s="22"/>
      <c r="W146" s="927"/>
      <c r="X146" s="13"/>
      <c r="Y146" s="1"/>
      <c r="Z146" s="928"/>
      <c r="AB146" s="929"/>
    </row>
    <row r="147" spans="2:28">
      <c r="B147" s="3"/>
      <c r="C147" s="13"/>
      <c r="D147" s="925"/>
      <c r="E147" s="689"/>
      <c r="F147" s="926"/>
      <c r="G147" s="926"/>
      <c r="H147" s="926"/>
      <c r="I147" s="926"/>
      <c r="J147" s="926"/>
      <c r="K147" s="926"/>
      <c r="L147" s="926"/>
      <c r="M147" s="926"/>
      <c r="N147" s="926"/>
      <c r="O147" s="925"/>
      <c r="P147" s="107"/>
      <c r="Q147" s="22"/>
      <c r="W147" s="927"/>
      <c r="X147" s="13"/>
      <c r="Y147" s="1"/>
      <c r="Z147" s="928"/>
      <c r="AB147" s="929"/>
    </row>
    <row r="148" spans="2:28" ht="13.5" customHeight="1">
      <c r="B148" s="3"/>
      <c r="C148" s="13"/>
      <c r="D148" s="925"/>
      <c r="E148" s="689"/>
      <c r="F148" s="926"/>
      <c r="G148" s="926"/>
      <c r="H148" s="926"/>
      <c r="I148" s="926"/>
      <c r="J148" s="926"/>
      <c r="K148" s="926"/>
      <c r="L148" s="926"/>
      <c r="M148" s="926"/>
      <c r="N148" s="926"/>
      <c r="O148" s="925"/>
      <c r="P148" s="107"/>
      <c r="Q148" s="22"/>
      <c r="W148" s="927"/>
      <c r="X148" s="13"/>
      <c r="Y148" s="1"/>
      <c r="Z148" s="928"/>
      <c r="AB148" s="929"/>
    </row>
    <row r="149" spans="2:28">
      <c r="B149" s="3"/>
      <c r="C149" s="13"/>
      <c r="D149" s="925"/>
      <c r="E149" s="689"/>
      <c r="F149" s="926"/>
      <c r="G149" s="926"/>
      <c r="H149" s="926"/>
      <c r="I149" s="926"/>
      <c r="J149" s="926"/>
      <c r="K149" s="926"/>
      <c r="L149" s="926"/>
      <c r="M149" s="926"/>
      <c r="N149" s="926"/>
      <c r="O149" s="925"/>
      <c r="P149" s="107"/>
      <c r="Q149" s="22"/>
      <c r="W149" s="927"/>
      <c r="X149" s="13"/>
      <c r="Y149" s="1"/>
      <c r="Z149" s="928"/>
      <c r="AB149" s="931"/>
    </row>
    <row r="150" spans="2:28" ht="12.75" customHeight="1">
      <c r="B150" s="3"/>
      <c r="C150" s="13"/>
      <c r="D150" s="925"/>
      <c r="E150" s="689"/>
      <c r="F150" s="935"/>
      <c r="G150" s="936"/>
      <c r="H150" s="926"/>
      <c r="I150" s="926"/>
      <c r="J150" s="926"/>
      <c r="K150" s="926"/>
      <c r="L150" s="935"/>
      <c r="M150" s="935"/>
      <c r="N150" s="926"/>
      <c r="O150" s="930"/>
      <c r="P150" s="107"/>
      <c r="Q150" s="22"/>
      <c r="W150" s="927"/>
      <c r="X150" s="13"/>
      <c r="Y150" s="1"/>
      <c r="Z150" s="928"/>
      <c r="AB150" s="937"/>
    </row>
    <row r="151" spans="2:28">
      <c r="B151" s="3"/>
      <c r="C151" s="13"/>
      <c r="D151" s="925"/>
      <c r="E151" s="689"/>
      <c r="F151" s="935"/>
      <c r="G151" s="936"/>
      <c r="H151" s="926"/>
      <c r="I151" s="926"/>
      <c r="J151" s="926"/>
      <c r="K151" s="926"/>
      <c r="L151" s="935"/>
      <c r="M151" s="935"/>
      <c r="N151" s="926"/>
      <c r="O151" s="925"/>
      <c r="P151" s="107"/>
      <c r="Q151" s="22"/>
      <c r="W151" s="927"/>
      <c r="X151" s="13"/>
      <c r="Y151" s="1"/>
      <c r="Z151" s="928"/>
      <c r="AB151" s="929"/>
    </row>
    <row r="152" spans="2:28" ht="12.75" customHeight="1">
      <c r="B152" s="3"/>
      <c r="C152" s="13"/>
      <c r="D152" s="925"/>
      <c r="E152" s="689"/>
      <c r="F152" s="935"/>
      <c r="G152" s="936"/>
      <c r="H152" s="926"/>
      <c r="I152" s="926"/>
      <c r="J152" s="926"/>
      <c r="K152" s="926"/>
      <c r="L152" s="935"/>
      <c r="M152" s="935"/>
      <c r="N152" s="926"/>
      <c r="O152" s="925"/>
      <c r="P152" s="107"/>
      <c r="Q152" s="22"/>
      <c r="W152" s="927"/>
      <c r="X152" s="13"/>
      <c r="Y152" s="1"/>
      <c r="Z152" s="928"/>
      <c r="AB152" s="929"/>
    </row>
    <row r="153" spans="2:28">
      <c r="B153" s="3"/>
      <c r="C153" s="13"/>
      <c r="D153" s="925"/>
      <c r="E153" s="949"/>
      <c r="F153" s="935"/>
      <c r="G153" s="936"/>
      <c r="H153" s="926"/>
      <c r="I153" s="947"/>
      <c r="J153" s="926"/>
      <c r="K153" s="947"/>
      <c r="L153" s="940"/>
      <c r="M153" s="940"/>
      <c r="N153" s="926"/>
      <c r="O153" s="925"/>
      <c r="P153" s="107"/>
      <c r="Q153" s="22"/>
      <c r="W153" s="927"/>
      <c r="X153" s="13"/>
      <c r="Y153" s="1"/>
      <c r="Z153" s="928"/>
      <c r="AB153" s="933"/>
    </row>
    <row r="154" spans="2:28">
      <c r="B154" s="3"/>
      <c r="C154" s="13"/>
      <c r="D154" s="925"/>
      <c r="E154" s="689"/>
      <c r="F154" s="940"/>
      <c r="G154" s="936"/>
      <c r="H154" s="926"/>
      <c r="I154" s="926"/>
      <c r="J154" s="926"/>
      <c r="K154" s="926"/>
      <c r="L154" s="940"/>
      <c r="M154" s="940"/>
      <c r="N154" s="926"/>
      <c r="O154" s="925"/>
      <c r="P154" s="107"/>
      <c r="Q154" s="22"/>
      <c r="W154" s="927"/>
      <c r="X154" s="13"/>
      <c r="Y154" s="1"/>
      <c r="Z154" s="928"/>
      <c r="AB154" s="929"/>
    </row>
    <row r="155" spans="2:28">
      <c r="B155" s="3"/>
      <c r="C155" s="13"/>
      <c r="D155" s="925"/>
      <c r="E155" s="689"/>
      <c r="F155" s="935"/>
      <c r="G155" s="936"/>
      <c r="H155" s="926"/>
      <c r="I155" s="926"/>
      <c r="J155" s="926"/>
      <c r="K155" s="926"/>
      <c r="L155" s="940"/>
      <c r="M155" s="935"/>
      <c r="N155" s="926"/>
      <c r="O155" s="925"/>
      <c r="P155" s="107"/>
      <c r="Q155" s="22"/>
      <c r="W155" s="927"/>
      <c r="X155" s="13"/>
      <c r="Y155" s="1"/>
      <c r="Z155" s="928"/>
      <c r="AB155" s="929"/>
    </row>
    <row r="156" spans="2:28">
      <c r="B156" s="3"/>
      <c r="C156" s="13"/>
      <c r="D156" s="925"/>
      <c r="E156" s="689"/>
      <c r="F156" s="940"/>
      <c r="G156" s="936"/>
      <c r="H156" s="926"/>
      <c r="I156" s="926"/>
      <c r="J156" s="926"/>
      <c r="K156" s="926"/>
      <c r="L156" s="936"/>
      <c r="M156" s="936"/>
      <c r="N156" s="9"/>
      <c r="O156" s="925"/>
      <c r="P156" s="107"/>
      <c r="Q156" s="22"/>
      <c r="W156" s="927"/>
      <c r="X156" s="13"/>
      <c r="Y156" s="1"/>
      <c r="Z156" s="928"/>
      <c r="AB156" s="929"/>
    </row>
    <row r="157" spans="2:28">
      <c r="B157" s="3"/>
      <c r="C157" s="13"/>
      <c r="D157" s="925"/>
      <c r="E157" s="689"/>
      <c r="F157" s="940"/>
      <c r="G157" s="940"/>
      <c r="H157" s="926"/>
      <c r="I157" s="926"/>
      <c r="J157" s="926"/>
      <c r="K157" s="935"/>
      <c r="L157" s="947"/>
      <c r="M157" s="940"/>
      <c r="N157" s="936"/>
      <c r="O157" s="925"/>
      <c r="P157" s="107"/>
      <c r="Q157" s="22"/>
      <c r="W157" s="927"/>
      <c r="X157" s="13"/>
      <c r="Y157" s="1"/>
      <c r="Z157" s="928"/>
      <c r="AB157" s="929"/>
    </row>
    <row r="158" spans="2:28" ht="10.5" customHeight="1">
      <c r="B158" s="3"/>
      <c r="C158" s="13"/>
      <c r="D158" s="925"/>
      <c r="E158" s="689"/>
      <c r="F158" s="935"/>
      <c r="G158" s="936"/>
      <c r="H158" s="926"/>
      <c r="I158" s="926"/>
      <c r="J158" s="926"/>
      <c r="K158" s="926"/>
      <c r="L158" s="935"/>
      <c r="M158" s="935"/>
      <c r="N158" s="926"/>
      <c r="O158" s="925"/>
      <c r="P158" s="107"/>
      <c r="Q158" s="22"/>
      <c r="W158" s="927"/>
      <c r="X158" s="13"/>
      <c r="Y158" s="1"/>
      <c r="Z158" s="928"/>
      <c r="AB158" s="929"/>
    </row>
    <row r="159" spans="2:28" ht="12.75" customHeight="1">
      <c r="B159" s="3"/>
      <c r="C159" s="13"/>
      <c r="D159" s="925"/>
      <c r="E159" s="689"/>
      <c r="F159" s="940"/>
      <c r="G159" s="936"/>
      <c r="H159" s="926"/>
      <c r="I159" s="926"/>
      <c r="J159" s="926"/>
      <c r="K159" s="926"/>
      <c r="L159" s="936"/>
      <c r="M159" s="936"/>
      <c r="N159" s="926"/>
      <c r="O159" s="925"/>
      <c r="P159" s="938"/>
      <c r="Q159" s="22"/>
      <c r="W159" s="927"/>
      <c r="X159" s="13"/>
      <c r="Y159" s="1"/>
      <c r="Z159" s="928"/>
      <c r="AB159" s="939"/>
    </row>
    <row r="160" spans="2:28">
      <c r="B160" s="3"/>
      <c r="C160" s="13"/>
      <c r="D160" s="925"/>
      <c r="E160" s="689"/>
      <c r="F160" s="935"/>
      <c r="G160" s="936"/>
      <c r="H160" s="926"/>
      <c r="I160" s="926"/>
      <c r="J160" s="926"/>
      <c r="K160" s="926"/>
      <c r="L160" s="936"/>
      <c r="M160" s="936"/>
      <c r="N160" s="926"/>
      <c r="O160" s="925"/>
      <c r="P160" s="107"/>
      <c r="Q160" s="22"/>
      <c r="W160" s="927"/>
      <c r="X160" s="13"/>
      <c r="Y160" s="1"/>
      <c r="Z160" s="928"/>
      <c r="AB160" s="929"/>
    </row>
    <row r="161" spans="2:28" ht="12.75" customHeight="1">
      <c r="B161" s="3"/>
      <c r="C161" s="13"/>
      <c r="D161" s="925"/>
      <c r="E161" s="689"/>
      <c r="F161" s="936"/>
      <c r="G161" s="940"/>
      <c r="H161" s="926"/>
      <c r="I161" s="926"/>
      <c r="J161" s="926"/>
      <c r="K161" s="926"/>
      <c r="L161" s="947"/>
      <c r="M161" s="940"/>
      <c r="N161" s="926"/>
      <c r="O161" s="925"/>
      <c r="P161" s="938"/>
      <c r="Q161" s="22"/>
      <c r="W161" s="927"/>
      <c r="X161" s="13"/>
      <c r="Y161" s="1"/>
      <c r="Z161" s="928"/>
      <c r="AB161" s="939"/>
    </row>
    <row r="162" spans="2:28" hidden="1">
      <c r="B162" s="3"/>
      <c r="C162" s="13"/>
      <c r="D162" s="925"/>
      <c r="E162" s="689"/>
      <c r="F162" s="940"/>
      <c r="G162" s="936"/>
      <c r="H162" s="926"/>
      <c r="I162" s="926"/>
      <c r="J162" s="926"/>
      <c r="K162" s="926"/>
      <c r="L162" s="935"/>
      <c r="M162" s="935"/>
      <c r="N162" s="926"/>
      <c r="O162" s="925"/>
      <c r="P162" s="107"/>
      <c r="Q162" s="22"/>
      <c r="W162" s="927"/>
      <c r="X162" s="13"/>
      <c r="Y162" s="1"/>
      <c r="Z162" s="928"/>
      <c r="AB162" s="933"/>
    </row>
    <row r="163" spans="2:28" ht="13.5" customHeight="1">
      <c r="B163" s="3"/>
      <c r="C163" s="4"/>
      <c r="D163" s="925"/>
      <c r="E163" s="689"/>
      <c r="F163" s="936"/>
      <c r="G163" s="936"/>
      <c r="H163" s="926"/>
      <c r="I163" s="926"/>
      <c r="J163" s="926"/>
      <c r="K163" s="926"/>
      <c r="L163" s="940"/>
      <c r="M163" s="940"/>
      <c r="N163" s="926"/>
      <c r="O163" s="925"/>
      <c r="P163" s="107"/>
      <c r="Q163" s="22"/>
      <c r="W163" s="927"/>
      <c r="X163" s="13"/>
      <c r="Y163" s="1"/>
      <c r="Z163" s="928"/>
      <c r="AB163" s="929"/>
    </row>
    <row r="164" spans="2:28" ht="12.75" customHeight="1">
      <c r="B164" s="3"/>
      <c r="C164" s="13"/>
      <c r="D164" s="925"/>
      <c r="E164" s="689"/>
      <c r="F164" s="935"/>
      <c r="G164" s="936"/>
      <c r="H164" s="947"/>
      <c r="I164" s="926"/>
      <c r="J164" s="926"/>
      <c r="K164" s="926"/>
      <c r="L164" s="935"/>
      <c r="M164" s="936"/>
      <c r="N164" s="926"/>
      <c r="O164" s="930"/>
      <c r="P164" s="938"/>
      <c r="Q164" s="22"/>
      <c r="W164" s="927"/>
      <c r="X164" s="13"/>
      <c r="Y164" s="1"/>
      <c r="Z164" s="928"/>
      <c r="AB164" s="939"/>
    </row>
    <row r="165" spans="2:28" ht="12.75" customHeight="1">
      <c r="B165" s="3"/>
      <c r="C165" s="13"/>
      <c r="D165" s="925"/>
      <c r="E165" s="689"/>
      <c r="F165" s="947"/>
      <c r="G165" s="947"/>
      <c r="H165" s="926"/>
      <c r="I165" s="926"/>
      <c r="J165" s="926"/>
      <c r="K165" s="926"/>
      <c r="L165" s="948"/>
      <c r="M165" s="947"/>
      <c r="N165" s="926"/>
      <c r="O165" s="930"/>
      <c r="P165" s="107"/>
      <c r="Q165" s="22"/>
      <c r="W165" s="927"/>
      <c r="X165" s="13"/>
      <c r="Y165" s="1"/>
      <c r="Z165" s="928"/>
      <c r="AB165" s="942"/>
    </row>
    <row r="166" spans="2:28" ht="12.75" customHeight="1">
      <c r="B166" s="3"/>
      <c r="C166" s="13"/>
      <c r="D166" s="925"/>
      <c r="E166" s="943"/>
      <c r="F166" s="151"/>
      <c r="G166" s="151"/>
      <c r="H166" s="151"/>
      <c r="I166" s="151"/>
      <c r="J166" s="151"/>
      <c r="K166" s="151"/>
      <c r="L166" s="151"/>
      <c r="M166" s="151"/>
      <c r="N166" s="151"/>
      <c r="O166" s="930"/>
      <c r="P166" s="107"/>
      <c r="Q166" s="22"/>
      <c r="W166" s="927"/>
      <c r="X166" s="13"/>
      <c r="Y166" s="1"/>
      <c r="Z166" s="928"/>
      <c r="AB166" s="929"/>
    </row>
    <row r="167" spans="2:28" ht="12.75" customHeight="1">
      <c r="B167" s="3"/>
      <c r="C167" s="13"/>
      <c r="D167" s="925"/>
      <c r="E167" s="943"/>
      <c r="F167" s="151"/>
      <c r="G167" s="151"/>
      <c r="H167" s="151"/>
      <c r="I167" s="151"/>
      <c r="J167" s="151"/>
      <c r="K167" s="151"/>
      <c r="L167" s="151"/>
      <c r="M167" s="151"/>
      <c r="N167" s="151"/>
      <c r="O167" s="930"/>
      <c r="P167" s="107"/>
      <c r="Q167" s="22"/>
      <c r="W167" s="927"/>
      <c r="X167" s="13"/>
      <c r="Y167" s="1"/>
      <c r="Z167" s="928"/>
      <c r="AB167" s="929"/>
    </row>
    <row r="168" spans="2:28" ht="11.25" customHeight="1">
      <c r="B168" s="3"/>
      <c r="C168" s="13"/>
      <c r="D168" s="925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930"/>
      <c r="P168" s="107"/>
      <c r="Q168" s="22"/>
      <c r="W168" s="927"/>
      <c r="X168" s="13"/>
      <c r="Y168" s="1"/>
      <c r="Z168" s="928"/>
      <c r="AB168" s="929"/>
    </row>
    <row r="169" spans="2:28" ht="12.75" customHeight="1">
      <c r="B169" s="3"/>
      <c r="C169" s="13"/>
      <c r="D169" s="925"/>
      <c r="E169" s="151"/>
      <c r="F169" s="151"/>
      <c r="G169" s="151"/>
      <c r="H169" s="151"/>
      <c r="I169" s="151"/>
      <c r="J169" s="151"/>
      <c r="K169" s="944"/>
      <c r="L169" s="151"/>
      <c r="M169" s="151"/>
      <c r="N169" s="151"/>
      <c r="O169" s="932"/>
      <c r="P169" s="107"/>
      <c r="Q169" s="22"/>
      <c r="W169" s="945"/>
      <c r="X169" s="13"/>
      <c r="Y169" s="946"/>
      <c r="Z169" s="928"/>
      <c r="AB169" s="929"/>
    </row>
    <row r="170" spans="2:28" ht="11.25" customHeight="1"/>
    <row r="171" spans="2:28" ht="12.75" customHeight="1">
      <c r="B171" s="94"/>
      <c r="D171" s="94"/>
    </row>
    <row r="172" spans="2:28">
      <c r="C172" s="13"/>
      <c r="D172" s="22"/>
      <c r="E172" s="14"/>
      <c r="F172" s="14"/>
      <c r="G172" s="14"/>
      <c r="H172" s="14"/>
      <c r="I172" s="14"/>
      <c r="J172" s="14"/>
      <c r="K172" s="14"/>
      <c r="L172" s="14"/>
      <c r="M172" s="13"/>
      <c r="N172" s="13"/>
      <c r="O172" s="9"/>
      <c r="P172" s="9"/>
      <c r="Q172" s="13"/>
      <c r="R172" s="22"/>
      <c r="T172" s="22"/>
      <c r="U172" s="13"/>
    </row>
    <row r="173" spans="2:28">
      <c r="C173" s="13"/>
      <c r="D173" s="9"/>
      <c r="E173" s="14"/>
      <c r="F173" s="14"/>
      <c r="G173" s="14"/>
      <c r="H173" s="14"/>
      <c r="I173" s="14"/>
      <c r="J173" s="14"/>
      <c r="K173" s="14"/>
      <c r="L173" s="14"/>
      <c r="M173" s="13"/>
      <c r="N173" s="13"/>
      <c r="O173" s="9"/>
      <c r="P173" s="9"/>
      <c r="Q173" s="13"/>
      <c r="R173" s="22"/>
      <c r="T173" s="22"/>
      <c r="U173" s="13"/>
    </row>
    <row r="174" spans="2:28">
      <c r="C174" s="22"/>
      <c r="D174" s="22"/>
      <c r="E174" s="14"/>
      <c r="F174" s="14"/>
      <c r="G174" s="14"/>
      <c r="H174" s="14"/>
      <c r="K174" s="14"/>
      <c r="L174" s="48"/>
      <c r="M174" s="13"/>
      <c r="N174" s="13"/>
      <c r="O174" s="9"/>
      <c r="P174" s="9"/>
      <c r="Q174" s="22"/>
      <c r="R174" s="22"/>
      <c r="T174" s="22"/>
      <c r="U174" s="13"/>
      <c r="AB174" s="922"/>
    </row>
    <row r="175" spans="2:28">
      <c r="C175" s="13"/>
      <c r="D175" s="1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9"/>
      <c r="P175" s="9"/>
      <c r="Q175" s="22"/>
      <c r="R175" s="22"/>
      <c r="T175" s="22"/>
      <c r="U175" s="13"/>
      <c r="Z175" s="150"/>
      <c r="AB175" s="922"/>
    </row>
    <row r="176" spans="2:28">
      <c r="C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9"/>
      <c r="P176" s="9"/>
      <c r="Q176" s="13"/>
      <c r="R176" s="22"/>
      <c r="T176" s="22"/>
      <c r="U176" s="13"/>
      <c r="Z176" s="150"/>
      <c r="AB176" s="923"/>
    </row>
    <row r="177" spans="2:28">
      <c r="C177" s="13"/>
      <c r="D177" s="14"/>
      <c r="E177" s="13"/>
      <c r="F177" s="13"/>
      <c r="G177" s="13"/>
      <c r="H177" s="13"/>
      <c r="I177" s="4"/>
      <c r="J177" s="13"/>
      <c r="K177" s="13"/>
      <c r="L177" s="13"/>
      <c r="M177" s="13"/>
      <c r="N177" s="4"/>
      <c r="O177" s="9"/>
      <c r="P177" s="9"/>
      <c r="Q177" s="14"/>
      <c r="R177" s="22"/>
      <c r="S177" s="13"/>
      <c r="T177" s="22"/>
      <c r="U177" s="13"/>
      <c r="W177" s="345"/>
      <c r="X177" s="22"/>
      <c r="Y177" s="3"/>
      <c r="Z177" s="924"/>
      <c r="AB177" s="923"/>
    </row>
    <row r="178" spans="2:28">
      <c r="B178" s="3"/>
      <c r="C178" s="13"/>
      <c r="D178" s="925"/>
      <c r="E178" s="940"/>
      <c r="F178" s="926"/>
      <c r="G178" s="926"/>
      <c r="H178" s="926"/>
      <c r="I178" s="926"/>
      <c r="J178" s="926"/>
      <c r="K178" s="926"/>
      <c r="L178" s="926"/>
      <c r="M178" s="926"/>
      <c r="N178" s="926"/>
      <c r="O178" s="925"/>
      <c r="P178" s="22"/>
      <c r="Q178" s="22"/>
      <c r="S178" s="64"/>
      <c r="W178" s="927"/>
      <c r="X178" s="13"/>
      <c r="Y178" s="1"/>
      <c r="Z178" s="928"/>
      <c r="AB178" s="929"/>
    </row>
    <row r="179" spans="2:28">
      <c r="B179" s="3"/>
      <c r="C179" s="13"/>
      <c r="D179" s="925"/>
      <c r="E179" s="940"/>
      <c r="F179" s="926"/>
      <c r="G179" s="926"/>
      <c r="H179" s="926"/>
      <c r="I179" s="926"/>
      <c r="J179" s="926"/>
      <c r="K179" s="926"/>
      <c r="L179" s="926"/>
      <c r="M179" s="926"/>
      <c r="N179" s="926"/>
      <c r="O179" s="930"/>
      <c r="P179" s="107"/>
      <c r="Q179" s="22"/>
      <c r="W179" s="927"/>
      <c r="X179" s="13"/>
      <c r="Y179" s="1"/>
      <c r="Z179" s="928"/>
      <c r="AB179" s="929"/>
    </row>
    <row r="180" spans="2:28" ht="12" customHeight="1">
      <c r="B180" s="3"/>
      <c r="C180" s="13"/>
      <c r="D180" s="925"/>
      <c r="E180" s="940"/>
      <c r="F180" s="926"/>
      <c r="G180" s="926"/>
      <c r="H180" s="940"/>
      <c r="I180" s="926"/>
      <c r="J180" s="926"/>
      <c r="K180" s="940"/>
      <c r="L180" s="926"/>
      <c r="M180" s="926"/>
      <c r="N180" s="926"/>
      <c r="O180" s="925"/>
      <c r="P180" s="107"/>
      <c r="Q180" s="22"/>
      <c r="W180" s="927"/>
      <c r="X180" s="13"/>
      <c r="Y180" s="1"/>
      <c r="Z180" s="928"/>
      <c r="AB180" s="931"/>
    </row>
    <row r="181" spans="2:28">
      <c r="B181" s="3"/>
      <c r="C181" s="13"/>
      <c r="D181" s="925"/>
      <c r="E181" s="940"/>
      <c r="F181" s="926"/>
      <c r="G181" s="926"/>
      <c r="H181" s="926"/>
      <c r="I181" s="926"/>
      <c r="J181" s="926"/>
      <c r="K181" s="926"/>
      <c r="L181" s="926"/>
      <c r="M181" s="926"/>
      <c r="N181" s="940"/>
      <c r="O181" s="932"/>
      <c r="P181" s="107"/>
      <c r="Q181" s="22"/>
      <c r="W181" s="927"/>
      <c r="X181" s="13"/>
      <c r="Y181" s="1"/>
      <c r="Z181" s="928"/>
      <c r="AB181" s="929"/>
    </row>
    <row r="182" spans="2:28" ht="12.75" customHeight="1">
      <c r="B182" s="3"/>
      <c r="C182" s="13"/>
      <c r="D182" s="925"/>
      <c r="E182" s="940"/>
      <c r="F182" s="926"/>
      <c r="G182" s="926"/>
      <c r="H182" s="926"/>
      <c r="I182" s="926"/>
      <c r="J182" s="926"/>
      <c r="K182" s="926"/>
      <c r="L182" s="926"/>
      <c r="M182" s="926"/>
      <c r="N182" s="926"/>
      <c r="O182" s="925"/>
      <c r="P182" s="107"/>
      <c r="Q182" s="22"/>
      <c r="W182" s="927"/>
      <c r="X182" s="13"/>
      <c r="Y182" s="1"/>
      <c r="Z182" s="928"/>
      <c r="AB182" s="933"/>
    </row>
    <row r="183" spans="2:28">
      <c r="B183" s="3"/>
      <c r="C183" s="13"/>
      <c r="D183" s="925"/>
      <c r="E183" s="940"/>
      <c r="F183" s="926"/>
      <c r="G183" s="926"/>
      <c r="H183" s="926"/>
      <c r="I183" s="926"/>
      <c r="J183" s="926"/>
      <c r="K183" s="926"/>
      <c r="L183" s="926"/>
      <c r="M183" s="926"/>
      <c r="N183" s="926"/>
      <c r="O183" s="925"/>
      <c r="P183" s="107"/>
      <c r="Q183" s="22"/>
      <c r="W183" s="927"/>
      <c r="X183" s="13"/>
      <c r="Y183" s="1"/>
      <c r="Z183" s="928"/>
      <c r="AB183" s="931"/>
    </row>
    <row r="184" spans="2:28" ht="15" customHeight="1">
      <c r="B184" s="3"/>
      <c r="C184" s="13"/>
      <c r="D184" s="925"/>
      <c r="E184" s="940"/>
      <c r="F184" s="926"/>
      <c r="G184" s="9"/>
      <c r="H184" s="935"/>
      <c r="I184" s="940"/>
      <c r="J184" s="926"/>
      <c r="K184" s="926"/>
      <c r="L184" s="926"/>
      <c r="M184" s="926"/>
      <c r="N184" s="926"/>
      <c r="O184" s="934"/>
      <c r="P184" s="107"/>
      <c r="Q184" s="22"/>
      <c r="W184" s="927"/>
      <c r="X184" s="13"/>
      <c r="Y184" s="1"/>
      <c r="Z184" s="928"/>
      <c r="AB184" s="933"/>
    </row>
    <row r="185" spans="2:28">
      <c r="B185" s="3"/>
      <c r="C185" s="13"/>
      <c r="D185" s="925"/>
      <c r="E185" s="940"/>
      <c r="F185" s="926"/>
      <c r="G185" s="926"/>
      <c r="H185" s="926"/>
      <c r="I185" s="926"/>
      <c r="J185" s="926"/>
      <c r="K185" s="926"/>
      <c r="L185" s="926"/>
      <c r="M185" s="926"/>
      <c r="N185" s="926"/>
      <c r="O185" s="925"/>
      <c r="P185" s="107"/>
      <c r="Q185" s="22"/>
      <c r="W185" s="927"/>
      <c r="X185" s="13"/>
      <c r="Y185" s="1"/>
      <c r="Z185" s="928"/>
      <c r="AB185" s="929"/>
    </row>
    <row r="186" spans="2:28">
      <c r="B186" s="3"/>
      <c r="C186" s="13"/>
      <c r="D186" s="925"/>
      <c r="E186" s="940"/>
      <c r="F186" s="926"/>
      <c r="G186" s="926"/>
      <c r="H186" s="926"/>
      <c r="I186" s="926"/>
      <c r="J186" s="926"/>
      <c r="K186" s="926"/>
      <c r="L186" s="926"/>
      <c r="M186" s="926"/>
      <c r="N186" s="926"/>
      <c r="O186" s="925"/>
      <c r="P186" s="107"/>
      <c r="Q186" s="22"/>
      <c r="W186" s="927"/>
      <c r="X186" s="13"/>
      <c r="Y186" s="1"/>
      <c r="Z186" s="928"/>
      <c r="AB186" s="929"/>
    </row>
    <row r="187" spans="2:28">
      <c r="B187" s="3"/>
      <c r="C187" s="13"/>
      <c r="D187" s="925"/>
      <c r="E187" s="940"/>
      <c r="F187" s="926"/>
      <c r="G187" s="926"/>
      <c r="H187" s="926"/>
      <c r="I187" s="926"/>
      <c r="J187" s="926"/>
      <c r="K187" s="926"/>
      <c r="L187" s="926"/>
      <c r="M187" s="926"/>
      <c r="N187" s="926"/>
      <c r="O187" s="925"/>
      <c r="P187" s="107"/>
      <c r="Q187" s="22"/>
      <c r="W187" s="927"/>
      <c r="X187" s="13"/>
      <c r="Y187" s="1"/>
      <c r="Z187" s="928"/>
      <c r="AB187" s="929"/>
    </row>
    <row r="188" spans="2:28">
      <c r="B188" s="3"/>
      <c r="C188" s="13"/>
      <c r="D188" s="925"/>
      <c r="E188" s="940"/>
      <c r="F188" s="926"/>
      <c r="G188" s="926"/>
      <c r="H188" s="926"/>
      <c r="I188" s="926"/>
      <c r="J188" s="926"/>
      <c r="K188" s="926"/>
      <c r="L188" s="926"/>
      <c r="M188" s="926"/>
      <c r="N188" s="926"/>
      <c r="O188" s="925"/>
      <c r="P188" s="107"/>
      <c r="Q188" s="22"/>
      <c r="W188" s="927"/>
      <c r="X188" s="13"/>
      <c r="Y188" s="1"/>
      <c r="Z188" s="928"/>
      <c r="AB188" s="929"/>
    </row>
    <row r="189" spans="2:28">
      <c r="B189" s="3"/>
      <c r="C189" s="13"/>
      <c r="D189" s="925"/>
      <c r="E189" s="940"/>
      <c r="F189" s="926"/>
      <c r="G189" s="926"/>
      <c r="H189" s="926"/>
      <c r="I189" s="926"/>
      <c r="J189" s="926"/>
      <c r="K189" s="926"/>
      <c r="L189" s="926"/>
      <c r="M189" s="926"/>
      <c r="N189" s="926"/>
      <c r="O189" s="925"/>
      <c r="P189" s="107"/>
      <c r="Q189" s="22"/>
      <c r="W189" s="927"/>
      <c r="X189" s="13"/>
      <c r="Y189" s="1"/>
      <c r="Z189" s="928"/>
      <c r="AB189" s="929"/>
    </row>
    <row r="190" spans="2:28">
      <c r="B190" s="3"/>
      <c r="C190" s="13"/>
      <c r="D190" s="925"/>
      <c r="E190" s="940"/>
      <c r="F190" s="926"/>
      <c r="G190" s="926"/>
      <c r="H190" s="926"/>
      <c r="I190" s="926"/>
      <c r="J190" s="926"/>
      <c r="K190" s="926"/>
      <c r="L190" s="926"/>
      <c r="M190" s="926"/>
      <c r="N190" s="926"/>
      <c r="O190" s="925"/>
      <c r="P190" s="107"/>
      <c r="Q190" s="22"/>
      <c r="W190" s="927"/>
      <c r="X190" s="13"/>
      <c r="Y190" s="1"/>
      <c r="Z190" s="928"/>
      <c r="AB190" s="929"/>
    </row>
    <row r="191" spans="2:28">
      <c r="B191" s="3"/>
      <c r="C191" s="13"/>
      <c r="D191" s="925"/>
      <c r="E191" s="940"/>
      <c r="F191" s="926"/>
      <c r="G191" s="926"/>
      <c r="H191" s="926"/>
      <c r="I191" s="926"/>
      <c r="J191" s="926"/>
      <c r="K191" s="926"/>
      <c r="L191" s="926"/>
      <c r="M191" s="926"/>
      <c r="N191" s="926"/>
      <c r="O191" s="925"/>
      <c r="P191" s="107"/>
      <c r="Q191" s="22"/>
      <c r="W191" s="927"/>
      <c r="X191" s="13"/>
      <c r="Y191" s="1"/>
      <c r="Z191" s="928"/>
      <c r="AB191" s="929"/>
    </row>
    <row r="192" spans="2:28" ht="13.5" customHeight="1">
      <c r="B192" s="3"/>
      <c r="C192" s="13"/>
      <c r="D192" s="925"/>
      <c r="E192" s="940"/>
      <c r="F192" s="926"/>
      <c r="G192" s="926"/>
      <c r="H192" s="926"/>
      <c r="I192" s="926"/>
      <c r="J192" s="926"/>
      <c r="K192" s="926"/>
      <c r="L192" s="926"/>
      <c r="M192" s="926"/>
      <c r="N192" s="926"/>
      <c r="O192" s="925"/>
      <c r="P192" s="107"/>
      <c r="Q192" s="22"/>
      <c r="W192" s="927"/>
      <c r="X192" s="13"/>
      <c r="Y192" s="1"/>
      <c r="Z192" s="928"/>
      <c r="AB192" s="931"/>
    </row>
    <row r="193" spans="2:28" ht="12" customHeight="1">
      <c r="B193" s="3"/>
      <c r="C193" s="13"/>
      <c r="D193" s="925"/>
      <c r="E193" s="943"/>
      <c r="F193" s="935"/>
      <c r="G193" s="936"/>
      <c r="H193" s="926"/>
      <c r="I193" s="926"/>
      <c r="J193" s="926"/>
      <c r="K193" s="926"/>
      <c r="L193" s="935"/>
      <c r="M193" s="935"/>
      <c r="N193" s="926"/>
      <c r="O193" s="930"/>
      <c r="P193" s="107"/>
      <c r="Q193" s="22"/>
      <c r="W193" s="927"/>
      <c r="X193" s="13"/>
      <c r="Y193" s="1"/>
      <c r="Z193" s="928"/>
      <c r="AB193" s="937"/>
    </row>
    <row r="194" spans="2:28">
      <c r="B194" s="3"/>
      <c r="C194" s="13"/>
      <c r="D194" s="925"/>
      <c r="E194" s="943"/>
      <c r="F194" s="935"/>
      <c r="G194" s="936"/>
      <c r="H194" s="926"/>
      <c r="I194" s="926"/>
      <c r="J194" s="926"/>
      <c r="K194" s="926"/>
      <c r="L194" s="935"/>
      <c r="M194" s="935"/>
      <c r="N194" s="926"/>
      <c r="O194" s="925"/>
      <c r="P194" s="107"/>
      <c r="Q194" s="22"/>
      <c r="W194" s="927"/>
      <c r="X194" s="13"/>
      <c r="Y194" s="1"/>
      <c r="Z194" s="928"/>
      <c r="AB194" s="929"/>
    </row>
    <row r="195" spans="2:28" ht="13.5" customHeight="1">
      <c r="B195" s="3"/>
      <c r="C195" s="13"/>
      <c r="D195" s="925"/>
      <c r="E195" s="943"/>
      <c r="F195" s="935"/>
      <c r="G195" s="936"/>
      <c r="H195" s="926"/>
      <c r="I195" s="926"/>
      <c r="J195" s="926"/>
      <c r="K195" s="926"/>
      <c r="L195" s="935"/>
      <c r="M195" s="935"/>
      <c r="N195" s="926"/>
      <c r="O195" s="925"/>
      <c r="P195" s="107"/>
      <c r="Q195" s="22"/>
      <c r="W195" s="927"/>
      <c r="X195" s="13"/>
      <c r="Y195" s="1"/>
      <c r="Z195" s="928"/>
      <c r="AB195" s="929"/>
    </row>
    <row r="196" spans="2:28">
      <c r="B196" s="3"/>
      <c r="C196" s="13"/>
      <c r="D196" s="925"/>
      <c r="E196" s="943"/>
      <c r="F196" s="935"/>
      <c r="G196" s="936"/>
      <c r="H196" s="926"/>
      <c r="I196" s="947"/>
      <c r="J196" s="926"/>
      <c r="K196" s="947"/>
      <c r="L196" s="940"/>
      <c r="M196" s="940"/>
      <c r="N196" s="926"/>
      <c r="O196" s="925"/>
      <c r="P196" s="107"/>
      <c r="Q196" s="22"/>
      <c r="W196" s="927"/>
      <c r="X196" s="13"/>
      <c r="Y196" s="1"/>
      <c r="Z196" s="928"/>
      <c r="AB196" s="933"/>
    </row>
    <row r="197" spans="2:28">
      <c r="B197" s="3"/>
      <c r="C197" s="13"/>
      <c r="D197" s="925"/>
      <c r="E197" s="943"/>
      <c r="F197" s="940"/>
      <c r="G197" s="936"/>
      <c r="H197" s="926"/>
      <c r="I197" s="926"/>
      <c r="J197" s="926"/>
      <c r="K197" s="926"/>
      <c r="L197" s="940"/>
      <c r="M197" s="940"/>
      <c r="N197" s="926"/>
      <c r="O197" s="925"/>
      <c r="P197" s="107"/>
      <c r="Q197" s="22"/>
      <c r="W197" s="927"/>
      <c r="X197" s="13"/>
      <c r="Y197" s="1"/>
      <c r="Z197" s="928"/>
      <c r="AB197" s="929"/>
    </row>
    <row r="198" spans="2:28" ht="12" customHeight="1">
      <c r="B198" s="3"/>
      <c r="C198" s="13"/>
      <c r="D198" s="925"/>
      <c r="E198" s="943"/>
      <c r="F198" s="935"/>
      <c r="G198" s="936"/>
      <c r="H198" s="926"/>
      <c r="I198" s="926"/>
      <c r="J198" s="926"/>
      <c r="K198" s="926"/>
      <c r="L198" s="940"/>
      <c r="M198" s="935"/>
      <c r="N198" s="926"/>
      <c r="O198" s="925"/>
      <c r="P198" s="107"/>
      <c r="Q198" s="22"/>
      <c r="W198" s="927"/>
      <c r="X198" s="13"/>
      <c r="Y198" s="1"/>
      <c r="Z198" s="928"/>
      <c r="AB198" s="929"/>
    </row>
    <row r="199" spans="2:28" ht="12.75" customHeight="1">
      <c r="B199" s="3"/>
      <c r="C199" s="13"/>
      <c r="D199" s="925"/>
      <c r="E199" s="943"/>
      <c r="F199" s="940"/>
      <c r="G199" s="936"/>
      <c r="H199" s="926"/>
      <c r="I199" s="926"/>
      <c r="J199" s="926"/>
      <c r="K199" s="926"/>
      <c r="L199" s="936"/>
      <c r="M199" s="936"/>
      <c r="N199" s="9"/>
      <c r="O199" s="925"/>
      <c r="P199" s="107"/>
      <c r="Q199" s="22"/>
      <c r="W199" s="927"/>
      <c r="X199" s="13"/>
      <c r="Y199" s="1"/>
      <c r="Z199" s="928"/>
      <c r="AB199" s="929"/>
    </row>
    <row r="200" spans="2:28" ht="11.25" customHeight="1">
      <c r="B200" s="3"/>
      <c r="C200" s="13"/>
      <c r="D200" s="925"/>
      <c r="E200" s="943"/>
      <c r="F200" s="940"/>
      <c r="G200" s="940"/>
      <c r="H200" s="926"/>
      <c r="I200" s="926"/>
      <c r="J200" s="926"/>
      <c r="K200" s="935"/>
      <c r="L200" s="947"/>
      <c r="M200" s="940"/>
      <c r="N200" s="936"/>
      <c r="O200" s="925"/>
      <c r="P200" s="107"/>
      <c r="Q200" s="22"/>
      <c r="W200" s="927"/>
      <c r="X200" s="13"/>
      <c r="Y200" s="1"/>
      <c r="Z200" s="928"/>
      <c r="AB200" s="929"/>
    </row>
    <row r="201" spans="2:28" ht="12" customHeight="1">
      <c r="B201" s="3"/>
      <c r="C201" s="13"/>
      <c r="D201" s="925"/>
      <c r="E201" s="943"/>
      <c r="F201" s="935"/>
      <c r="G201" s="936"/>
      <c r="H201" s="926"/>
      <c r="I201" s="926"/>
      <c r="J201" s="926"/>
      <c r="K201" s="926"/>
      <c r="L201" s="935"/>
      <c r="M201" s="935"/>
      <c r="N201" s="926"/>
      <c r="O201" s="925"/>
      <c r="P201" s="107"/>
      <c r="Q201" s="22"/>
      <c r="W201" s="927"/>
      <c r="X201" s="13"/>
      <c r="Y201" s="1"/>
      <c r="Z201" s="928"/>
      <c r="AB201" s="929"/>
    </row>
    <row r="202" spans="2:28">
      <c r="B202" s="3"/>
      <c r="C202" s="13"/>
      <c r="D202" s="925"/>
      <c r="E202" s="943"/>
      <c r="F202" s="940"/>
      <c r="G202" s="936"/>
      <c r="H202" s="926"/>
      <c r="I202" s="926"/>
      <c r="J202" s="926"/>
      <c r="K202" s="926"/>
      <c r="L202" s="936"/>
      <c r="M202" s="936"/>
      <c r="N202" s="926"/>
      <c r="O202" s="925"/>
      <c r="P202" s="938"/>
      <c r="Q202" s="22"/>
      <c r="W202" s="927"/>
      <c r="X202" s="13"/>
      <c r="Y202" s="1"/>
      <c r="Z202" s="928"/>
      <c r="AB202" s="939"/>
    </row>
    <row r="203" spans="2:28" ht="13.5" customHeight="1">
      <c r="B203" s="3"/>
      <c r="C203" s="13"/>
      <c r="D203" s="925"/>
      <c r="E203" s="943"/>
      <c r="F203" s="935"/>
      <c r="G203" s="936"/>
      <c r="H203" s="926"/>
      <c r="I203" s="926"/>
      <c r="J203" s="926"/>
      <c r="K203" s="926"/>
      <c r="L203" s="936"/>
      <c r="M203" s="936"/>
      <c r="N203" s="926"/>
      <c r="O203" s="925"/>
      <c r="P203" s="107"/>
      <c r="Q203" s="22"/>
      <c r="W203" s="927"/>
      <c r="X203" s="13"/>
      <c r="Y203" s="1"/>
      <c r="Z203" s="928"/>
      <c r="AB203" s="929"/>
    </row>
    <row r="204" spans="2:28" ht="13.5" customHeight="1">
      <c r="B204" s="3"/>
      <c r="C204" s="13"/>
      <c r="D204" s="925"/>
      <c r="E204" s="943"/>
      <c r="F204" s="936"/>
      <c r="G204" s="940"/>
      <c r="H204" s="926"/>
      <c r="I204" s="926"/>
      <c r="J204" s="926"/>
      <c r="K204" s="926"/>
      <c r="L204" s="947"/>
      <c r="M204" s="940"/>
      <c r="N204" s="926"/>
      <c r="O204" s="925"/>
      <c r="P204" s="938"/>
      <c r="Q204" s="22"/>
      <c r="W204" s="927"/>
      <c r="X204" s="13"/>
      <c r="Y204" s="1"/>
      <c r="Z204" s="928"/>
      <c r="AB204" s="939"/>
    </row>
    <row r="205" spans="2:28" hidden="1">
      <c r="B205" s="3"/>
      <c r="C205" s="13"/>
      <c r="D205" s="925"/>
      <c r="E205" s="943"/>
      <c r="F205" s="940"/>
      <c r="G205" s="936"/>
      <c r="H205" s="926"/>
      <c r="I205" s="926"/>
      <c r="J205" s="926"/>
      <c r="K205" s="926"/>
      <c r="L205" s="935"/>
      <c r="M205" s="935"/>
      <c r="N205" s="926"/>
      <c r="O205" s="925"/>
      <c r="P205" s="107"/>
      <c r="Q205" s="22"/>
      <c r="W205" s="927"/>
      <c r="X205" s="13"/>
      <c r="Y205" s="1"/>
      <c r="Z205" s="928"/>
      <c r="AB205" s="933"/>
    </row>
    <row r="206" spans="2:28" ht="13.5" customHeight="1">
      <c r="B206" s="3"/>
      <c r="C206" s="4"/>
      <c r="D206" s="925"/>
      <c r="E206" s="943"/>
      <c r="F206" s="936"/>
      <c r="G206" s="936"/>
      <c r="H206" s="926"/>
      <c r="I206" s="926"/>
      <c r="J206" s="926"/>
      <c r="K206" s="926"/>
      <c r="L206" s="940"/>
      <c r="M206" s="940"/>
      <c r="N206" s="926"/>
      <c r="O206" s="925"/>
      <c r="P206" s="107"/>
      <c r="Q206" s="22"/>
      <c r="W206" s="927"/>
      <c r="X206" s="13"/>
      <c r="Y206" s="1"/>
      <c r="Z206" s="928"/>
      <c r="AB206" s="929"/>
    </row>
    <row r="207" spans="2:28" ht="12" customHeight="1">
      <c r="B207" s="3"/>
      <c r="C207" s="13"/>
      <c r="D207" s="925"/>
      <c r="E207" s="943"/>
      <c r="F207" s="935"/>
      <c r="G207" s="936"/>
      <c r="H207" s="947"/>
      <c r="I207" s="926"/>
      <c r="J207" s="926"/>
      <c r="K207" s="926"/>
      <c r="L207" s="935"/>
      <c r="M207" s="936"/>
      <c r="N207" s="926"/>
      <c r="O207" s="930"/>
      <c r="P207" s="938"/>
      <c r="Q207" s="22"/>
      <c r="W207" s="927"/>
      <c r="X207" s="13"/>
      <c r="Y207" s="1"/>
      <c r="Z207" s="928"/>
      <c r="AB207" s="939"/>
    </row>
    <row r="208" spans="2:28" ht="13.5" customHeight="1">
      <c r="B208" s="3"/>
      <c r="C208" s="13"/>
      <c r="D208" s="925"/>
      <c r="E208" s="943"/>
      <c r="F208" s="947"/>
      <c r="G208" s="947"/>
      <c r="H208" s="926"/>
      <c r="I208" s="926"/>
      <c r="J208" s="926"/>
      <c r="K208" s="926"/>
      <c r="L208" s="948"/>
      <c r="M208" s="947"/>
      <c r="N208" s="926"/>
      <c r="O208" s="930"/>
      <c r="P208" s="107"/>
      <c r="Q208" s="22"/>
      <c r="W208" s="927"/>
      <c r="X208" s="13"/>
      <c r="Y208" s="1"/>
      <c r="Z208" s="928"/>
      <c r="AB208" s="942"/>
    </row>
    <row r="209" spans="2:28">
      <c r="B209" s="3"/>
      <c r="C209" s="13"/>
      <c r="D209" s="925"/>
      <c r="E209" s="943"/>
      <c r="F209" s="151"/>
      <c r="G209" s="151"/>
      <c r="H209" s="151"/>
      <c r="I209" s="151"/>
      <c r="J209" s="151"/>
      <c r="K209" s="151"/>
      <c r="L209" s="151"/>
      <c r="M209" s="151"/>
      <c r="N209" s="151"/>
      <c r="O209" s="930"/>
      <c r="P209" s="107"/>
      <c r="Q209" s="22"/>
      <c r="W209" s="927"/>
      <c r="X209" s="13"/>
      <c r="Y209" s="1"/>
      <c r="Z209" s="928"/>
      <c r="AB209" s="929"/>
    </row>
    <row r="210" spans="2:28" ht="12.75" customHeight="1">
      <c r="B210" s="3"/>
      <c r="C210" s="13"/>
      <c r="D210" s="925"/>
      <c r="E210" s="943"/>
      <c r="F210" s="151"/>
      <c r="G210" s="151"/>
      <c r="H210" s="151"/>
      <c r="I210" s="151"/>
      <c r="J210" s="151"/>
      <c r="K210" s="151"/>
      <c r="L210" s="151"/>
      <c r="M210" s="151"/>
      <c r="N210" s="151"/>
      <c r="O210" s="930"/>
      <c r="P210" s="107"/>
      <c r="Q210" s="22"/>
      <c r="W210" s="927"/>
      <c r="X210" s="13"/>
      <c r="Y210" s="1"/>
      <c r="Z210" s="928"/>
      <c r="AB210" s="929"/>
    </row>
    <row r="211" spans="2:28" ht="12" customHeight="1">
      <c r="B211" s="3"/>
      <c r="C211" s="13"/>
      <c r="D211" s="925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930"/>
      <c r="P211" s="107"/>
      <c r="Q211" s="22"/>
      <c r="W211" s="927"/>
      <c r="X211" s="13"/>
      <c r="Y211" s="1"/>
      <c r="Z211" s="928"/>
      <c r="AB211" s="929"/>
    </row>
    <row r="212" spans="2:28" ht="12.75" customHeight="1">
      <c r="B212" s="3"/>
      <c r="C212" s="13"/>
      <c r="D212" s="925"/>
      <c r="E212" s="151"/>
      <c r="F212" s="151"/>
      <c r="G212" s="151"/>
      <c r="H212" s="151"/>
      <c r="I212" s="151"/>
      <c r="J212" s="151"/>
      <c r="K212" s="944"/>
      <c r="L212" s="151"/>
      <c r="M212" s="151"/>
      <c r="N212" s="151"/>
      <c r="O212" s="932"/>
      <c r="P212" s="107"/>
      <c r="Q212" s="22"/>
      <c r="W212" s="945"/>
      <c r="X212" s="13"/>
      <c r="Y212" s="946"/>
      <c r="Z212" s="928"/>
      <c r="AB212" s="929"/>
    </row>
  </sheetData>
  <pageMargins left="0.118055555555556" right="0.118055555555556" top="0.15763888888888899" bottom="0.15763888888888899" header="0.51180555555555496" footer="0.51180555555555496"/>
  <pageSetup paperSize="9" scale="73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витамины, мин-е вещ-ва</vt:lpstr>
      <vt:lpstr>12-18л. МЕНЮ  </vt:lpstr>
      <vt:lpstr>12-18л. РАСКЛАДКА</vt:lpstr>
      <vt:lpstr>12-18л. ВЕДОМОСТЬ завтрак</vt:lpstr>
      <vt:lpstr>12-18л. ВЕДОМОСТЬ  обед</vt:lpstr>
      <vt:lpstr>12-18л. ВЕДОМОСТЬ  полдник</vt:lpstr>
      <vt:lpstr>12-18л. ВЕДОМОСТЬ завтрак обед</vt:lpstr>
      <vt:lpstr>12-18л. ВЕДОМОСТЬ обед  полдник</vt:lpstr>
      <vt:lpstr>12-18л. ВЕДОМОСТЬ единая</vt:lpstr>
      <vt:lpstr>компановка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115</cp:revision>
  <cp:lastPrinted>2022-12-03T13:26:10Z</cp:lastPrinted>
  <dcterms:created xsi:type="dcterms:W3CDTF">2006-09-28T05:33:49Z</dcterms:created>
  <dcterms:modified xsi:type="dcterms:W3CDTF">2022-12-03T13:26:23Z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